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filterPrivacy="1" updateLinks="never" codeName="ThisWorkbook"/>
  <xr:revisionPtr revIDLastSave="0" documentId="13_ncr:1_{7B5A5E01-4DD6-5545-8BFA-D33AD592D5A6}" xr6:coauthVersionLast="47" xr6:coauthVersionMax="47" xr10:uidLastSave="{00000000-0000-0000-0000-000000000000}"/>
  <bookViews>
    <workbookView xWindow="32520" yWindow="1600" windowWidth="29040" windowHeight="15720" xr2:uid="{00000000-000D-0000-FFFF-FFFF00000000}"/>
  </bookViews>
  <sheets>
    <sheet name="DATA" sheetId="3" r:id="rId1"/>
    <sheet name="TAX" sheetId="15" r:id="rId2"/>
    <sheet name="RULES" sheetId="6" r:id="rId3"/>
    <sheet name="Salary Table" sheetId="1" r:id="rId4"/>
    <sheet name="Loading Table" sheetId="5" r:id="rId5"/>
    <sheet name="Age Determination " sheetId="9" r:id="rId6"/>
    <sheet name="Preservation Age" sheetId="10" r:id="rId7"/>
  </sheets>
  <externalReferences>
    <externalReference r:id="rId8"/>
  </externalReferences>
  <definedNames>
    <definedName name="LU_Scale1">#REF!</definedName>
    <definedName name="LU_Scale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6" l="1"/>
  <c r="E25" i="6" l="1"/>
  <c r="C34" i="3" l="1"/>
  <c r="C23" i="3"/>
  <c r="C59" i="3"/>
  <c r="E7" i="6"/>
  <c r="C32" i="3"/>
  <c r="C50" i="3"/>
  <c r="C30" i="3"/>
  <c r="C33" i="3" l="1"/>
  <c r="C36" i="3" s="1"/>
  <c r="D36" i="3" s="1"/>
  <c r="C6" i="15"/>
  <c r="C5" i="15"/>
  <c r="C4" i="15"/>
  <c r="C3" i="15"/>
  <c r="C2" i="15"/>
  <c r="C1" i="15" l="1"/>
  <c r="C27" i="3"/>
  <c r="C40" i="3" s="1"/>
  <c r="C53" i="3" s="1"/>
  <c r="E49" i="3" l="1"/>
  <c r="E50" i="3"/>
  <c r="A6" i="10" l="1"/>
  <c r="A5" i="10"/>
  <c r="A4" i="10"/>
  <c r="A3" i="10"/>
  <c r="C47" i="3" s="1"/>
  <c r="C44" i="3"/>
  <c r="E16" i="6" l="1"/>
  <c r="C41" i="3" l="1"/>
  <c r="C15" i="3"/>
  <c r="D53" i="3" s="1"/>
  <c r="E53" i="3" s="1"/>
  <c r="F53" i="3" s="1"/>
  <c r="C14" i="3"/>
  <c r="E18" i="6" s="1"/>
  <c r="E20" i="6" l="1"/>
  <c r="E26" i="6" s="1"/>
  <c r="C45" i="3"/>
  <c r="C46" i="3" s="1"/>
  <c r="D54" i="3"/>
  <c r="E47" i="3"/>
  <c r="N3" i="1"/>
  <c r="M3" i="1"/>
  <c r="G3" i="1"/>
  <c r="G47" i="1" l="1"/>
  <c r="N47" i="1" s="1"/>
  <c r="G45" i="1"/>
  <c r="G43" i="1"/>
  <c r="M43" i="1" s="1"/>
  <c r="G40" i="1"/>
  <c r="G35" i="1"/>
  <c r="N35" i="1" s="1"/>
  <c r="G32" i="1"/>
  <c r="N32" i="1" s="1"/>
  <c r="G27" i="1"/>
  <c r="G24" i="1"/>
  <c r="G42" i="1"/>
  <c r="N42" i="1" s="1"/>
  <c r="G21" i="1"/>
  <c r="N21" i="1" s="1"/>
  <c r="G18" i="1"/>
  <c r="N18" i="1" s="1"/>
  <c r="G14" i="1"/>
  <c r="G12" i="1"/>
  <c r="M12" i="1" s="1"/>
  <c r="G10" i="1"/>
  <c r="M10" i="1" s="1"/>
  <c r="G8" i="1"/>
  <c r="M8" i="1" s="1"/>
  <c r="G6" i="1"/>
  <c r="G44" i="1"/>
  <c r="M44" i="1" s="1"/>
  <c r="G33" i="1"/>
  <c r="N33" i="1" s="1"/>
  <c r="G31" i="1"/>
  <c r="N31" i="1" s="1"/>
  <c r="G30" i="1"/>
  <c r="N30" i="1" s="1"/>
  <c r="G29" i="1"/>
  <c r="N29" i="1" s="1"/>
  <c r="G28" i="1"/>
  <c r="M28" i="1" s="1"/>
  <c r="G26" i="1"/>
  <c r="M26" i="1" s="1"/>
  <c r="G22" i="1"/>
  <c r="G17" i="1"/>
  <c r="M17" i="1" s="1"/>
  <c r="G15" i="1"/>
  <c r="N15" i="1" s="1"/>
  <c r="G13" i="1"/>
  <c r="N13" i="1" s="1"/>
  <c r="G11" i="1"/>
  <c r="G9" i="1"/>
  <c r="G7" i="1"/>
  <c r="G46" i="1"/>
  <c r="M46" i="1" s="1"/>
  <c r="G41" i="1"/>
  <c r="G39" i="1"/>
  <c r="M39" i="1" s="1"/>
  <c r="G38" i="1"/>
  <c r="N38" i="1" s="1"/>
  <c r="G37" i="1"/>
  <c r="M37" i="1" s="1"/>
  <c r="G36" i="1"/>
  <c r="G34" i="1"/>
  <c r="N34" i="1" s="1"/>
  <c r="G23" i="1"/>
  <c r="N23" i="1" s="1"/>
  <c r="G20" i="1"/>
  <c r="M20" i="1" s="1"/>
  <c r="G25" i="1"/>
  <c r="G16" i="1"/>
  <c r="N16" i="1" s="1"/>
  <c r="G19" i="1"/>
  <c r="C39" i="3" l="1"/>
  <c r="C56" i="3" s="1"/>
  <c r="C38" i="3"/>
  <c r="N44" i="1"/>
  <c r="M42" i="1"/>
  <c r="F50" i="3"/>
  <c r="M30" i="1"/>
  <c r="N37" i="1"/>
  <c r="N39" i="1"/>
  <c r="N46" i="1"/>
  <c r="M21" i="1"/>
  <c r="M35" i="1"/>
  <c r="N10" i="1"/>
  <c r="M38" i="1"/>
  <c r="R36" i="1"/>
  <c r="J36" i="1"/>
  <c r="I36" i="1"/>
  <c r="L36" i="1"/>
  <c r="Q36" i="1"/>
  <c r="K36" i="1"/>
  <c r="H36" i="1"/>
  <c r="M36" i="1"/>
  <c r="L45" i="1"/>
  <c r="H45" i="1"/>
  <c r="K45" i="1"/>
  <c r="R45" i="1"/>
  <c r="J45" i="1"/>
  <c r="Q45" i="1"/>
  <c r="I45" i="1"/>
  <c r="L25" i="1"/>
  <c r="H25" i="1"/>
  <c r="I25" i="1"/>
  <c r="Q25" i="1"/>
  <c r="J25" i="1"/>
  <c r="R25" i="1"/>
  <c r="K25" i="1"/>
  <c r="N25" i="1"/>
  <c r="L41" i="1"/>
  <c r="H41" i="1"/>
  <c r="I41" i="1"/>
  <c r="R41" i="1"/>
  <c r="K41" i="1"/>
  <c r="Q41" i="1"/>
  <c r="J41" i="1"/>
  <c r="Q11" i="1"/>
  <c r="M11" i="1"/>
  <c r="I11" i="1"/>
  <c r="K11" i="1"/>
  <c r="R11" i="1"/>
  <c r="J11" i="1"/>
  <c r="H11" i="1"/>
  <c r="N11" i="1"/>
  <c r="L11" i="1"/>
  <c r="R22" i="1"/>
  <c r="J22" i="1"/>
  <c r="I22" i="1"/>
  <c r="Q22" i="1"/>
  <c r="L22" i="1"/>
  <c r="K22" i="1"/>
  <c r="H22" i="1"/>
  <c r="M22" i="1"/>
  <c r="R30" i="1"/>
  <c r="J30" i="1"/>
  <c r="H30" i="1"/>
  <c r="Q30" i="1"/>
  <c r="K30" i="1"/>
  <c r="I30" i="1"/>
  <c r="L30" i="1"/>
  <c r="K6" i="1"/>
  <c r="Q6" i="1"/>
  <c r="I6" i="1"/>
  <c r="H6" i="1"/>
  <c r="J6" i="1"/>
  <c r="L6" i="1"/>
  <c r="R6" i="1"/>
  <c r="K14" i="1"/>
  <c r="Q14" i="1"/>
  <c r="I14" i="1"/>
  <c r="L14" i="1"/>
  <c r="H14" i="1"/>
  <c r="R14" i="1"/>
  <c r="J14" i="1"/>
  <c r="R24" i="1"/>
  <c r="J24" i="1"/>
  <c r="Q24" i="1"/>
  <c r="L24" i="1"/>
  <c r="I24" i="1"/>
  <c r="K24" i="1"/>
  <c r="H24" i="1"/>
  <c r="R40" i="1"/>
  <c r="J40" i="1"/>
  <c r="Q40" i="1"/>
  <c r="L40" i="1"/>
  <c r="K40" i="1"/>
  <c r="I40" i="1"/>
  <c r="H40" i="1"/>
  <c r="N14" i="1"/>
  <c r="N24" i="1"/>
  <c r="N40" i="1"/>
  <c r="R20" i="1"/>
  <c r="J20" i="1"/>
  <c r="K20" i="1"/>
  <c r="H20" i="1"/>
  <c r="Q20" i="1"/>
  <c r="L20" i="1"/>
  <c r="I20" i="1"/>
  <c r="L37" i="1"/>
  <c r="H37" i="1"/>
  <c r="Q37" i="1"/>
  <c r="K37" i="1"/>
  <c r="R37" i="1"/>
  <c r="J37" i="1"/>
  <c r="I37" i="1"/>
  <c r="R46" i="1"/>
  <c r="J46" i="1"/>
  <c r="Q46" i="1"/>
  <c r="I46" i="1"/>
  <c r="L46" i="1"/>
  <c r="K46" i="1"/>
  <c r="H46" i="1"/>
  <c r="Q13" i="1"/>
  <c r="M13" i="1"/>
  <c r="I13" i="1"/>
  <c r="K13" i="1"/>
  <c r="R13" i="1"/>
  <c r="L13" i="1"/>
  <c r="J13" i="1"/>
  <c r="H13" i="1"/>
  <c r="R26" i="1"/>
  <c r="J26" i="1"/>
  <c r="K26" i="1"/>
  <c r="Q26" i="1"/>
  <c r="I26" i="1"/>
  <c r="H26" i="1"/>
  <c r="L26" i="1"/>
  <c r="L31" i="1"/>
  <c r="H31" i="1"/>
  <c r="J31" i="1"/>
  <c r="R31" i="1"/>
  <c r="K31" i="1"/>
  <c r="Q31" i="1"/>
  <c r="I31" i="1"/>
  <c r="M31" i="1"/>
  <c r="K8" i="1"/>
  <c r="Q8" i="1"/>
  <c r="I8" i="1"/>
  <c r="L8" i="1"/>
  <c r="N8" i="1"/>
  <c r="R8" i="1"/>
  <c r="J8" i="1"/>
  <c r="H8" i="1"/>
  <c r="R18" i="1"/>
  <c r="J18" i="1"/>
  <c r="Q18" i="1"/>
  <c r="L18" i="1"/>
  <c r="I18" i="1"/>
  <c r="M18" i="1"/>
  <c r="H18" i="1"/>
  <c r="K18" i="1"/>
  <c r="L27" i="1"/>
  <c r="H27" i="1"/>
  <c r="R27" i="1"/>
  <c r="Q27" i="1"/>
  <c r="J27" i="1"/>
  <c r="I27" i="1"/>
  <c r="K27" i="1"/>
  <c r="L43" i="1"/>
  <c r="H43" i="1"/>
  <c r="K43" i="1"/>
  <c r="J43" i="1"/>
  <c r="R43" i="1"/>
  <c r="I43" i="1"/>
  <c r="Q43" i="1"/>
  <c r="M41" i="1"/>
  <c r="M25" i="1"/>
  <c r="M14" i="1"/>
  <c r="M6" i="1"/>
  <c r="L19" i="1"/>
  <c r="H19" i="1"/>
  <c r="I19" i="1"/>
  <c r="Q19" i="1"/>
  <c r="K19" i="1"/>
  <c r="J19" i="1"/>
  <c r="R19" i="1"/>
  <c r="M19" i="1"/>
  <c r="N45" i="1"/>
  <c r="N20" i="1"/>
  <c r="N41" i="1"/>
  <c r="N26" i="1"/>
  <c r="L23" i="1"/>
  <c r="H23" i="1"/>
  <c r="Q23" i="1"/>
  <c r="K23" i="1"/>
  <c r="I23" i="1"/>
  <c r="R23" i="1"/>
  <c r="M23" i="1"/>
  <c r="J23" i="1"/>
  <c r="R38" i="1"/>
  <c r="J38" i="1"/>
  <c r="H38" i="1"/>
  <c r="L38" i="1"/>
  <c r="Q38" i="1"/>
  <c r="K38" i="1"/>
  <c r="I38" i="1"/>
  <c r="Q7" i="1"/>
  <c r="M7" i="1"/>
  <c r="I7" i="1"/>
  <c r="K7" i="1"/>
  <c r="R7" i="1"/>
  <c r="J7" i="1"/>
  <c r="L7" i="1"/>
  <c r="H7" i="1"/>
  <c r="N7" i="1"/>
  <c r="Q15" i="1"/>
  <c r="M15" i="1"/>
  <c r="I15" i="1"/>
  <c r="K15" i="1"/>
  <c r="R15" i="1"/>
  <c r="J15" i="1"/>
  <c r="L15" i="1"/>
  <c r="H15" i="1"/>
  <c r="R28" i="1"/>
  <c r="J28" i="1"/>
  <c r="I28" i="1"/>
  <c r="Q28" i="1"/>
  <c r="K28" i="1"/>
  <c r="H28" i="1"/>
  <c r="L28" i="1"/>
  <c r="L33" i="1"/>
  <c r="H33" i="1"/>
  <c r="I33" i="1"/>
  <c r="R33" i="1"/>
  <c r="K33" i="1"/>
  <c r="Q33" i="1"/>
  <c r="J33" i="1"/>
  <c r="M33" i="1"/>
  <c r="K10" i="1"/>
  <c r="Q10" i="1"/>
  <c r="I10" i="1"/>
  <c r="H10" i="1"/>
  <c r="R10" i="1"/>
  <c r="L10" i="1"/>
  <c r="J10" i="1"/>
  <c r="L21" i="1"/>
  <c r="H21" i="1"/>
  <c r="R21" i="1"/>
  <c r="J21" i="1"/>
  <c r="I21" i="1"/>
  <c r="Q21" i="1"/>
  <c r="K21" i="1"/>
  <c r="R32" i="1"/>
  <c r="J32" i="1"/>
  <c r="Q32" i="1"/>
  <c r="L32" i="1"/>
  <c r="K32" i="1"/>
  <c r="I32" i="1"/>
  <c r="H32" i="1"/>
  <c r="M32" i="1"/>
  <c r="M40" i="1"/>
  <c r="M45" i="1"/>
  <c r="M24" i="1"/>
  <c r="M27" i="1"/>
  <c r="R16" i="1"/>
  <c r="J16" i="1"/>
  <c r="M16" i="1"/>
  <c r="H16" i="1"/>
  <c r="K16" i="1"/>
  <c r="I16" i="1"/>
  <c r="Q16" i="1"/>
  <c r="L16" i="1"/>
  <c r="N6" i="1"/>
  <c r="N27" i="1"/>
  <c r="N19" i="1"/>
  <c r="N22" i="1"/>
  <c r="N43" i="1"/>
  <c r="N28" i="1"/>
  <c r="N36" i="1"/>
  <c r="R34" i="1"/>
  <c r="J34" i="1"/>
  <c r="K34" i="1"/>
  <c r="L34" i="1"/>
  <c r="Q34" i="1"/>
  <c r="I34" i="1"/>
  <c r="H34" i="1"/>
  <c r="M34" i="1"/>
  <c r="L39" i="1"/>
  <c r="H39" i="1"/>
  <c r="J39" i="1"/>
  <c r="R39" i="1"/>
  <c r="K39" i="1"/>
  <c r="Q39" i="1"/>
  <c r="I39" i="1"/>
  <c r="Q9" i="1"/>
  <c r="M9" i="1"/>
  <c r="I9" i="1"/>
  <c r="K9" i="1"/>
  <c r="N9" i="1"/>
  <c r="L9" i="1"/>
  <c r="R9" i="1"/>
  <c r="J9" i="1"/>
  <c r="H9" i="1"/>
  <c r="L17" i="1"/>
  <c r="H17" i="1"/>
  <c r="J17" i="1"/>
  <c r="R17" i="1"/>
  <c r="Q17" i="1"/>
  <c r="K17" i="1"/>
  <c r="N17" i="1"/>
  <c r="I17" i="1"/>
  <c r="L29" i="1"/>
  <c r="H29" i="1"/>
  <c r="Q29" i="1"/>
  <c r="K29" i="1"/>
  <c r="R29" i="1"/>
  <c r="J29" i="1"/>
  <c r="I29" i="1"/>
  <c r="M29" i="1"/>
  <c r="R44" i="1"/>
  <c r="J44" i="1"/>
  <c r="Q44" i="1"/>
  <c r="I44" i="1"/>
  <c r="H44" i="1"/>
  <c r="K44" i="1"/>
  <c r="L44" i="1"/>
  <c r="K12" i="1"/>
  <c r="Q12" i="1"/>
  <c r="I12" i="1"/>
  <c r="L12" i="1"/>
  <c r="R12" i="1"/>
  <c r="J12" i="1"/>
  <c r="H12" i="1"/>
  <c r="N12" i="1"/>
  <c r="R42" i="1"/>
  <c r="J42" i="1"/>
  <c r="Q42" i="1"/>
  <c r="I42" i="1"/>
  <c r="L42" i="1"/>
  <c r="K42" i="1"/>
  <c r="H42" i="1"/>
  <c r="L35" i="1"/>
  <c r="H35" i="1"/>
  <c r="R35" i="1"/>
  <c r="K35" i="1"/>
  <c r="Q35" i="1"/>
  <c r="J35" i="1"/>
  <c r="I35" i="1"/>
  <c r="L47" i="1"/>
  <c r="H47" i="1"/>
  <c r="K47" i="1"/>
  <c r="R47" i="1"/>
  <c r="J47" i="1"/>
  <c r="I47" i="1"/>
  <c r="Q47" i="1"/>
  <c r="M47" i="1"/>
  <c r="D56" i="3" l="1"/>
  <c r="E56" i="3" s="1"/>
  <c r="F56" i="3" s="1"/>
  <c r="D38" i="3"/>
  <c r="C54" i="3"/>
  <c r="E54" i="3" s="1"/>
  <c r="F49" i="3"/>
  <c r="P35" i="1"/>
  <c r="T35" i="1" s="1"/>
  <c r="O35" i="1"/>
  <c r="S35" i="1" s="1"/>
  <c r="P32" i="1"/>
  <c r="T32" i="1" s="1"/>
  <c r="O32" i="1"/>
  <c r="S32" i="1" s="1"/>
  <c r="P19" i="1"/>
  <c r="T19" i="1" s="1"/>
  <c r="O19" i="1"/>
  <c r="S19" i="1" s="1"/>
  <c r="P31" i="1"/>
  <c r="T31" i="1" s="1"/>
  <c r="O31" i="1"/>
  <c r="S31" i="1" s="1"/>
  <c r="O13" i="1"/>
  <c r="S13" i="1" s="1"/>
  <c r="P13" i="1"/>
  <c r="T13" i="1" s="1"/>
  <c r="P20" i="1"/>
  <c r="T20" i="1" s="1"/>
  <c r="O20" i="1"/>
  <c r="S20" i="1" s="1"/>
  <c r="P40" i="1"/>
  <c r="T40" i="1" s="1"/>
  <c r="O40" i="1"/>
  <c r="S40" i="1" s="1"/>
  <c r="O14" i="1"/>
  <c r="S14" i="1" s="1"/>
  <c r="P14" i="1"/>
  <c r="T14" i="1" s="1"/>
  <c r="P41" i="1"/>
  <c r="T41" i="1" s="1"/>
  <c r="O41" i="1"/>
  <c r="S41" i="1" s="1"/>
  <c r="O12" i="1"/>
  <c r="S12" i="1" s="1"/>
  <c r="P12" i="1"/>
  <c r="T12" i="1" s="1"/>
  <c r="P34" i="1"/>
  <c r="T34" i="1" s="1"/>
  <c r="O34" i="1"/>
  <c r="S34" i="1" s="1"/>
  <c r="P16" i="1"/>
  <c r="T16" i="1" s="1"/>
  <c r="O16" i="1"/>
  <c r="S16" i="1" s="1"/>
  <c r="O10" i="1"/>
  <c r="S10" i="1" s="1"/>
  <c r="P10" i="1"/>
  <c r="T10" i="1" s="1"/>
  <c r="P33" i="1"/>
  <c r="T33" i="1" s="1"/>
  <c r="O33" i="1"/>
  <c r="S33" i="1" s="1"/>
  <c r="O15" i="1"/>
  <c r="S15" i="1" s="1"/>
  <c r="P15" i="1"/>
  <c r="T15" i="1" s="1"/>
  <c r="O7" i="1"/>
  <c r="S7" i="1" s="1"/>
  <c r="P7" i="1"/>
  <c r="T7" i="1" s="1"/>
  <c r="P43" i="1"/>
  <c r="T43" i="1" s="1"/>
  <c r="O43" i="1"/>
  <c r="S43" i="1" s="1"/>
  <c r="P37" i="1"/>
  <c r="T37" i="1" s="1"/>
  <c r="O37" i="1"/>
  <c r="S37" i="1" s="1"/>
  <c r="P24" i="1"/>
  <c r="T24" i="1" s="1"/>
  <c r="O24" i="1"/>
  <c r="S24" i="1" s="1"/>
  <c r="P30" i="1"/>
  <c r="T30" i="1" s="1"/>
  <c r="O30" i="1"/>
  <c r="S30" i="1" s="1"/>
  <c r="O11" i="1"/>
  <c r="S11" i="1" s="1"/>
  <c r="P11" i="1"/>
  <c r="T11" i="1" s="1"/>
  <c r="P17" i="1"/>
  <c r="T17" i="1" s="1"/>
  <c r="O17" i="1"/>
  <c r="S17" i="1" s="1"/>
  <c r="P44" i="1"/>
  <c r="T44" i="1" s="1"/>
  <c r="O44" i="1"/>
  <c r="S44" i="1" s="1"/>
  <c r="P21" i="1"/>
  <c r="T21" i="1" s="1"/>
  <c r="O21" i="1"/>
  <c r="S21" i="1" s="1"/>
  <c r="P27" i="1"/>
  <c r="T27" i="1" s="1"/>
  <c r="O27" i="1"/>
  <c r="S27" i="1" s="1"/>
  <c r="P39" i="1"/>
  <c r="T39" i="1" s="1"/>
  <c r="O39" i="1"/>
  <c r="S39" i="1" s="1"/>
  <c r="P29" i="1"/>
  <c r="T29" i="1" s="1"/>
  <c r="O29" i="1"/>
  <c r="S29" i="1" s="1"/>
  <c r="O28" i="1"/>
  <c r="S28" i="1" s="1"/>
  <c r="P28" i="1"/>
  <c r="T28" i="1" s="1"/>
  <c r="P23" i="1"/>
  <c r="T23" i="1" s="1"/>
  <c r="O23" i="1"/>
  <c r="S23" i="1" s="1"/>
  <c r="O18" i="1"/>
  <c r="S18" i="1" s="1"/>
  <c r="P18" i="1"/>
  <c r="T18" i="1" s="1"/>
  <c r="P26" i="1"/>
  <c r="T26" i="1" s="1"/>
  <c r="O26" i="1"/>
  <c r="S26" i="1" s="1"/>
  <c r="O46" i="1"/>
  <c r="S46" i="1" s="1"/>
  <c r="P46" i="1"/>
  <c r="T46" i="1" s="1"/>
  <c r="P25" i="1"/>
  <c r="T25" i="1" s="1"/>
  <c r="O25" i="1"/>
  <c r="S25" i="1" s="1"/>
  <c r="P47" i="1"/>
  <c r="T47" i="1" s="1"/>
  <c r="O47" i="1"/>
  <c r="S47" i="1" s="1"/>
  <c r="P42" i="1"/>
  <c r="T42" i="1" s="1"/>
  <c r="O42" i="1"/>
  <c r="S42" i="1" s="1"/>
  <c r="O9" i="1"/>
  <c r="S9" i="1" s="1"/>
  <c r="P9" i="1"/>
  <c r="T9" i="1" s="1"/>
  <c r="P38" i="1"/>
  <c r="T38" i="1" s="1"/>
  <c r="O38" i="1"/>
  <c r="S38" i="1" s="1"/>
  <c r="O8" i="1"/>
  <c r="S8" i="1" s="1"/>
  <c r="P8" i="1"/>
  <c r="T8" i="1" s="1"/>
  <c r="O6" i="1"/>
  <c r="S6" i="1" s="1"/>
  <c r="P6" i="1"/>
  <c r="T6" i="1" s="1"/>
  <c r="O22" i="1"/>
  <c r="S22" i="1" s="1"/>
  <c r="P22" i="1"/>
  <c r="T22" i="1" s="1"/>
  <c r="P45" i="1"/>
  <c r="T45" i="1" s="1"/>
  <c r="O45" i="1"/>
  <c r="S45" i="1" s="1"/>
  <c r="O36" i="1"/>
  <c r="S36" i="1" s="1"/>
  <c r="P36" i="1"/>
  <c r="T36" i="1" s="1"/>
  <c r="C55" i="3" l="1"/>
  <c r="F55" i="3" s="1"/>
  <c r="C42" i="3"/>
  <c r="C57" i="3" l="1"/>
  <c r="F54" i="3"/>
  <c r="F57" i="3" s="1"/>
  <c r="E5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6" authorId="0" shapeId="0" xr:uid="{00000000-0006-0000-0000-000002000000}">
      <text>
        <r>
          <rPr>
            <b/>
            <sz val="9"/>
            <color indexed="81"/>
            <rFont val="Tahoma"/>
            <family val="2"/>
          </rPr>
          <t xml:space="preserve">Eligible Service Date
This is the date of your  commencement with ANU. If you have taken leave without pay, or any break in service or have casual employment - this will affect your continuous service. 
</t>
        </r>
        <r>
          <rPr>
            <sz val="9"/>
            <color indexed="81"/>
            <rFont val="Tahoma"/>
            <family val="2"/>
          </rPr>
          <t xml:space="preserve">
</t>
        </r>
      </text>
    </comment>
    <comment ref="C17" authorId="0" shapeId="0" xr:uid="{00000000-0006-0000-0000-000003000000}">
      <text>
        <r>
          <rPr>
            <b/>
            <sz val="9"/>
            <color indexed="81"/>
            <rFont val="Tahoma"/>
            <family val="2"/>
          </rPr>
          <t xml:space="preserve">Departure Date
</t>
        </r>
        <r>
          <rPr>
            <sz val="9"/>
            <color indexed="81"/>
            <rFont val="Tahoma"/>
            <family val="2"/>
          </rPr>
          <t>Enter expected end date</t>
        </r>
        <r>
          <rPr>
            <b/>
            <sz val="9"/>
            <color indexed="81"/>
            <rFont val="Tahoma"/>
            <family val="2"/>
          </rPr>
          <t xml:space="preserve">.
</t>
        </r>
        <r>
          <rPr>
            <sz val="9"/>
            <color indexed="81"/>
            <rFont val="Tahoma"/>
            <family val="2"/>
          </rPr>
          <t xml:space="preserve">
</t>
        </r>
      </text>
    </comment>
    <comment ref="C19" authorId="0" shapeId="0" xr:uid="{112FFB17-DB37-4A67-9DDC-EA38CEE5A168}">
      <text>
        <r>
          <rPr>
            <b/>
            <sz val="9"/>
            <color indexed="81"/>
            <rFont val="Tahoma"/>
            <family val="2"/>
          </rPr>
          <t>Enter date redeployment/notice period started
(leave blank if notification and departure occur on the same date)</t>
        </r>
      </text>
    </comment>
    <comment ref="C22" authorId="0" shapeId="0" xr:uid="{00000000-0006-0000-0000-000005000000}">
      <text>
        <r>
          <rPr>
            <b/>
            <sz val="9"/>
            <color indexed="81"/>
            <rFont val="Tahoma"/>
            <family val="2"/>
          </rPr>
          <t>Forecast Annual Leave</t>
        </r>
        <r>
          <rPr>
            <sz val="9"/>
            <color indexed="81"/>
            <rFont val="Tahoma"/>
            <family val="2"/>
          </rPr>
          <t xml:space="preserve">
Note: Annual leave hours are available through HORUS by accessing the Forecast balance Function. 
</t>
        </r>
      </text>
    </comment>
    <comment ref="C23" authorId="0" shapeId="0" xr:uid="{00000000-0006-0000-0000-000006000000}">
      <text>
        <r>
          <rPr>
            <b/>
            <sz val="9"/>
            <color indexed="81"/>
            <rFont val="Tahoma"/>
            <family val="2"/>
          </rPr>
          <t xml:space="preserve">Forecast Long Service Leave
</t>
        </r>
        <r>
          <rPr>
            <sz val="9"/>
            <color indexed="81"/>
            <rFont val="Tahoma"/>
            <family val="2"/>
          </rPr>
          <t xml:space="preserve">Note: Long service leave hours are available through HORUS by accessing the Forecast balance Function. 
 </t>
        </r>
        <r>
          <rPr>
            <b/>
            <sz val="9"/>
            <color indexed="81"/>
            <rFont val="Tahoma"/>
            <family val="2"/>
          </rPr>
          <t xml:space="preserve">
</t>
        </r>
      </text>
    </comment>
    <comment ref="C24" authorId="0" shapeId="0" xr:uid="{00000000-0006-0000-0000-00000A000000}">
      <text>
        <r>
          <rPr>
            <b/>
            <sz val="9"/>
            <color indexed="81"/>
            <rFont val="Tahoma"/>
            <family val="2"/>
          </rPr>
          <t xml:space="preserve">Unpaid leave:
</t>
        </r>
        <r>
          <rPr>
            <sz val="9"/>
            <color indexed="81"/>
            <rFont val="Tahoma"/>
            <family val="2"/>
          </rPr>
          <t xml:space="preserve">Please obtain unpaid leave details from your HORUS absence records. Enter the total hours taken for all unpaid leave types.
</t>
        </r>
      </text>
    </comment>
    <comment ref="C26" authorId="0" shapeId="0" xr:uid="{00000000-0006-0000-0000-000007000000}">
      <text>
        <r>
          <rPr>
            <b/>
            <sz val="9"/>
            <color indexed="81"/>
            <rFont val="Tahoma"/>
            <family val="2"/>
          </rPr>
          <t>Annual salary per payslip</t>
        </r>
      </text>
    </comment>
    <comment ref="C28" authorId="0" shapeId="0" xr:uid="{00000000-0006-0000-0000-000009000000}">
      <text>
        <r>
          <rPr>
            <b/>
            <sz val="9"/>
            <color indexed="81"/>
            <rFont val="Tahoma"/>
            <family val="2"/>
          </rPr>
          <t>Available from payslip</t>
        </r>
        <r>
          <rPr>
            <sz val="9"/>
            <color indexed="81"/>
            <rFont val="Tahoma"/>
            <family val="2"/>
          </rPr>
          <t xml:space="preserve">
</t>
        </r>
      </text>
    </comment>
    <comment ref="C29" authorId="0" shapeId="0" xr:uid="{035E206F-7282-4AFF-B73B-4AC84AFE0BD7}">
      <text>
        <r>
          <rPr>
            <sz val="9"/>
            <color indexed="81"/>
            <rFont val="Tahoma"/>
            <family val="2"/>
          </rPr>
          <t>Enter current weekly hours</t>
        </r>
      </text>
    </comment>
  </commentList>
</comments>
</file>

<file path=xl/sharedStrings.xml><?xml version="1.0" encoding="utf-8"?>
<sst xmlns="http://schemas.openxmlformats.org/spreadsheetml/2006/main" count="199" uniqueCount="164">
  <si>
    <t>ANU Voluntary Separation Payment Estimate</t>
  </si>
  <si>
    <t>AMOUNTS ARE ESTIMATES ONLY</t>
  </si>
  <si>
    <t>UID</t>
  </si>
  <si>
    <t>Name</t>
  </si>
  <si>
    <t>Date of Birth</t>
  </si>
  <si>
    <t>Age at Termination</t>
  </si>
  <si>
    <t>Age at the End of Financial Year</t>
  </si>
  <si>
    <t>Eligible Service Start Date</t>
  </si>
  <si>
    <t>Expected Date of Departure</t>
  </si>
  <si>
    <t>EOFY for year separating</t>
  </si>
  <si>
    <t>Notice Period Start Date</t>
  </si>
  <si>
    <t xml:space="preserve">Academic or Professional </t>
  </si>
  <si>
    <t>Professional</t>
  </si>
  <si>
    <t>Forecasted Annual Leave balance at departure date</t>
  </si>
  <si>
    <t>Forecasted Long Service Leave balance at departure date</t>
  </si>
  <si>
    <t>Unpaid leave taken (hours)</t>
  </si>
  <si>
    <t>Current Annual Pay Rate</t>
  </si>
  <si>
    <t>Currently Hourly Rate</t>
  </si>
  <si>
    <t>Current Hourly Rate of Loadings and Allowances</t>
  </si>
  <si>
    <t>Current Weekly hours</t>
  </si>
  <si>
    <t>FTE</t>
  </si>
  <si>
    <t>Completed Calendar Years of Service</t>
  </si>
  <si>
    <t xml:space="preserve">Completed FTE Years of Service </t>
  </si>
  <si>
    <t>Unpaid leave converted to years</t>
  </si>
  <si>
    <t>No of Weeks for Separation Payment</t>
  </si>
  <si>
    <t>No of  Weeks for notice period</t>
  </si>
  <si>
    <t xml:space="preserve">Estimated separation - total weeks </t>
  </si>
  <si>
    <t>Estimated separation - gross payment</t>
  </si>
  <si>
    <t>Unused Annual Leave</t>
  </si>
  <si>
    <t>Unused Long Service Leave</t>
  </si>
  <si>
    <t>Estimated payment of unused leave</t>
  </si>
  <si>
    <t>Age Pension Age</t>
  </si>
  <si>
    <t>Tax Free limit</t>
  </si>
  <si>
    <t>Hide</t>
  </si>
  <si>
    <t>How much for tax free limit</t>
  </si>
  <si>
    <t>Tax rate for amounts under the cap</t>
  </si>
  <si>
    <t>Tax rate for mount over the CAP</t>
  </si>
  <si>
    <t>Preservation  Age</t>
  </si>
  <si>
    <t xml:space="preserve">Normal Fortnightly earning </t>
  </si>
  <si>
    <t xml:space="preserve">Annual Leave </t>
  </si>
  <si>
    <t xml:space="preserve">Long service leave </t>
  </si>
  <si>
    <t>Marginal Tax for Leave pay out</t>
  </si>
  <si>
    <t>Description</t>
  </si>
  <si>
    <t>Gross Payment</t>
  </si>
  <si>
    <t>Tax Rate</t>
  </si>
  <si>
    <t>Tax amount payable</t>
  </si>
  <si>
    <t>Net Payment</t>
  </si>
  <si>
    <r>
      <rPr>
        <b/>
        <sz val="11"/>
        <color theme="1"/>
        <rFont val="Calibri"/>
        <family val="2"/>
        <scheme val="minor"/>
      </rPr>
      <t xml:space="preserve">Annual Leave </t>
    </r>
    <r>
      <rPr>
        <sz val="11"/>
        <color theme="1"/>
        <rFont val="Calibri"/>
        <family val="2"/>
        <scheme val="minor"/>
      </rPr>
      <t xml:space="preserve">
</t>
    </r>
  </si>
  <si>
    <r>
      <rPr>
        <b/>
        <sz val="11"/>
        <color theme="1"/>
        <rFont val="Calibri"/>
        <family val="2"/>
        <scheme val="minor"/>
      </rPr>
      <t xml:space="preserve">Long Service Leave </t>
    </r>
    <r>
      <rPr>
        <sz val="11"/>
        <color theme="1"/>
        <rFont val="Calibri"/>
        <family val="2"/>
        <scheme val="minor"/>
      </rPr>
      <t xml:space="preserve">
</t>
    </r>
  </si>
  <si>
    <r>
      <rPr>
        <b/>
        <sz val="11"/>
        <color theme="1"/>
        <rFont val="Calibri"/>
        <family val="2"/>
        <scheme val="minor"/>
      </rPr>
      <t>Separation Payment - untaxed</t>
    </r>
    <r>
      <rPr>
        <sz val="11"/>
        <color theme="1"/>
        <rFont val="Calibri"/>
        <family val="2"/>
        <scheme val="minor"/>
      </rPr>
      <t xml:space="preserve">
The tax-free amount for the 2024/2025 financial year is $12,524 
plus $6,264 for each completed year of service.</t>
    </r>
  </si>
  <si>
    <t>Separation Payment - taxable</t>
  </si>
  <si>
    <t>TOTAL ESTIMATED PAYMENT</t>
  </si>
  <si>
    <t xml:space="preserve">Estimate preparation date:  </t>
  </si>
  <si>
    <r>
      <t xml:space="preserve">DISCLAIMER.
</t>
    </r>
    <r>
      <rPr>
        <sz val="11"/>
        <color theme="1"/>
        <rFont val="Calibri"/>
        <family val="2"/>
        <scheme val="minor"/>
      </rPr>
      <t>Whilst every effort is made to ensure that the information contained in the above calculations is correct, it is to be used as an ESTIMATE of final entitlements only.
The estimate will not take into account changes between full and part time service during employment. If you have altered between full and part time, this will reduce the redundancy amounts.
The leave values are based on the balance in HORUS at the time of calculation and could change based on pro-rata leave accruals, if leave is taken or if the cessation date changes.
The Employment Termination Payment (ETP) amounts are subject to complex calculations based on the age of the employee at termination, length of service, and financial year earnings, which can only  truly be determined on the date of cessation. It should be noted that these amounts are likely to vary based on these factors.
The Whole of Income Cap is not taken into account in these calculations and this may vary tax amounts for high high income earners.</t>
    </r>
    <r>
      <rPr>
        <b/>
        <sz val="11"/>
        <color theme="1"/>
        <rFont val="Calibri"/>
        <family val="2"/>
        <scheme val="minor"/>
      </rPr>
      <t xml:space="preserve">
</t>
    </r>
  </si>
  <si>
    <t>Marginal tax</t>
  </si>
  <si>
    <t>Academic</t>
  </si>
  <si>
    <t xml:space="preserve">Note: Max 78 weeks for sep payment (ex AL and LSL) </t>
  </si>
  <si>
    <t>Max</t>
  </si>
  <si>
    <t xml:space="preserve">Note: Max 64 weeks for sep payment (ex AL and LSL) </t>
  </si>
  <si>
    <t>Notice period entitlement</t>
  </si>
  <si>
    <t>Redeployment period entitlement</t>
  </si>
  <si>
    <t xml:space="preserve">Total entitlement </t>
  </si>
  <si>
    <t>Period worked</t>
  </si>
  <si>
    <t>Redeployment period payable</t>
  </si>
  <si>
    <t>Notice period payable</t>
  </si>
  <si>
    <t>July-19 to July-21</t>
  </si>
  <si>
    <t>Jul-21 to Jul-22</t>
  </si>
  <si>
    <t>Variable (%) based on Cap</t>
  </si>
  <si>
    <t>Grade</t>
  </si>
  <si>
    <t>Superannuation</t>
  </si>
  <si>
    <t>Payroll Tax On Base Sal</t>
  </si>
  <si>
    <t>Tax on Super Component</t>
  </si>
  <si>
    <t>Tax on Leave Loading</t>
  </si>
  <si>
    <t>TOTAL Inc On-Cost</t>
  </si>
  <si>
    <t>Selected Year</t>
  </si>
  <si>
    <t>Leave Loading</t>
  </si>
  <si>
    <t>Fixed-Term</t>
  </si>
  <si>
    <t>Cont</t>
  </si>
  <si>
    <t>Long Service Leave Levy</t>
  </si>
  <si>
    <t>Workers Compensation Levy</t>
  </si>
  <si>
    <t>Professional Staff Level 2 Step 1</t>
  </si>
  <si>
    <t>Professional Staff Level 2 Step 2</t>
  </si>
  <si>
    <t>Professional Staff Level 2 Step 3</t>
  </si>
  <si>
    <t>Professional Staff Level 3 Step 1</t>
  </si>
  <si>
    <t>Professional Staff Level 3 Step 2</t>
  </si>
  <si>
    <t>Professional Staff Level 3 Step 3</t>
  </si>
  <si>
    <t>Professional Staff Level 3 Step 4</t>
  </si>
  <si>
    <t>Professional Staff Level 4 Step 1</t>
  </si>
  <si>
    <t>Professional Staff Level 4 Step 2</t>
  </si>
  <si>
    <t>Professional Staff Level 4 Step 3</t>
  </si>
  <si>
    <t>Professional Staff Level 4 Step 4</t>
  </si>
  <si>
    <t>Professional Staff Level 5 Step 1</t>
  </si>
  <si>
    <t>Professional Staff Level 5 Step 2</t>
  </si>
  <si>
    <t>Professional Staff Level 5 Step 3</t>
  </si>
  <si>
    <t>Professional Staff Level 5 Step 4</t>
  </si>
  <si>
    <t>Professional Staff Level 6 Step 1</t>
  </si>
  <si>
    <t>Professional Staff Level 6 Step 2</t>
  </si>
  <si>
    <t>Professional Staff Level 7 Step 1</t>
  </si>
  <si>
    <t>Professional Staff Level 7 Step 2</t>
  </si>
  <si>
    <t>Professional Staff Level 8 Step 1</t>
  </si>
  <si>
    <t>Professional Staff Level 8 Step 2</t>
  </si>
  <si>
    <t>Professional Staff SM1 Step 1</t>
  </si>
  <si>
    <t>Professional Staff SM1 Step 2</t>
  </si>
  <si>
    <t xml:space="preserve">Professional Staff SM2 </t>
  </si>
  <si>
    <t xml:space="preserve">Professional Staff SM3 </t>
  </si>
  <si>
    <t xml:space="preserve">Professional Staff SM4 </t>
  </si>
  <si>
    <t xml:space="preserve">Professional Staff SM5 </t>
  </si>
  <si>
    <t xml:space="preserve">Academic Staff A1 </t>
  </si>
  <si>
    <t xml:space="preserve">Academic Staff A2 </t>
  </si>
  <si>
    <t xml:space="preserve">Academic Staff A3 </t>
  </si>
  <si>
    <t xml:space="preserve">Academic Staff A4 </t>
  </si>
  <si>
    <t xml:space="preserve">Academic Staff B1 </t>
  </si>
  <si>
    <t xml:space="preserve">Academic Staff B2 </t>
  </si>
  <si>
    <t xml:space="preserve">Academic Staff B3 </t>
  </si>
  <si>
    <t xml:space="preserve">Academic Staff C1 </t>
  </si>
  <si>
    <t xml:space="preserve">Academic Staff C2 </t>
  </si>
  <si>
    <t xml:space="preserve">Academic Staff C3 </t>
  </si>
  <si>
    <t xml:space="preserve">Academic Staff D1 </t>
  </si>
  <si>
    <t xml:space="preserve">Academic Staff D2 </t>
  </si>
  <si>
    <t>Academic Staff D3</t>
  </si>
  <si>
    <t xml:space="preserve">Academic Staff E1 </t>
  </si>
  <si>
    <t xml:space="preserve">Academic Staff E2 </t>
  </si>
  <si>
    <t>Earning Element</t>
  </si>
  <si>
    <t>Earning Description</t>
  </si>
  <si>
    <t>Included in leave payouts</t>
  </si>
  <si>
    <t>None</t>
  </si>
  <si>
    <t>Yes</t>
  </si>
  <si>
    <t>Clinical Loading NPR</t>
  </si>
  <si>
    <t>Clinical Loading PR</t>
  </si>
  <si>
    <t>Industry</t>
  </si>
  <si>
    <t>Licence-Electrical A Class</t>
  </si>
  <si>
    <t>Licence-Plumber</t>
  </si>
  <si>
    <t>Trade</t>
  </si>
  <si>
    <t>ARC Salary Margin</t>
  </si>
  <si>
    <t>ARC- Laureate Fellow Supplement</t>
  </si>
  <si>
    <t>ARC</t>
  </si>
  <si>
    <t>ARC Gap Payment</t>
  </si>
  <si>
    <t>AZL</t>
  </si>
  <si>
    <t>Composite Zone Leaders Allowances</t>
  </si>
  <si>
    <t>D01</t>
  </si>
  <si>
    <t>Remote Location Allowances</t>
  </si>
  <si>
    <t>KRL</t>
  </si>
  <si>
    <t>Responsibility Loading</t>
  </si>
  <si>
    <t>Yes- Conditional</t>
  </si>
  <si>
    <t>LOU</t>
  </si>
  <si>
    <t>Head Academic Organisational Unit</t>
  </si>
  <si>
    <t>LPH</t>
  </si>
  <si>
    <t>PhD Loading</t>
  </si>
  <si>
    <t>LSA</t>
  </si>
  <si>
    <t>Long Service Allowance</t>
  </si>
  <si>
    <t>LSM</t>
  </si>
  <si>
    <t>Salary Maintenance Loading</t>
  </si>
  <si>
    <t>MKT</t>
  </si>
  <si>
    <t>Market Related Loading</t>
  </si>
  <si>
    <t>MRT</t>
  </si>
  <si>
    <t>Merit Related Loading</t>
  </si>
  <si>
    <t>(Determine by End of financial year)</t>
  </si>
  <si>
    <r>
      <t>-</t>
    </r>
    <r>
      <rPr>
        <sz val="7"/>
        <color theme="0"/>
        <rFont val="Times New Roman"/>
        <family val="1"/>
      </rPr>
      <t xml:space="preserve">          </t>
    </r>
    <r>
      <rPr>
        <sz val="11"/>
        <color theme="0"/>
        <rFont val="Calibri"/>
        <family val="2"/>
        <scheme val="minor"/>
      </rPr>
      <t>3 weeks per year of service</t>
    </r>
  </si>
  <si>
    <r>
      <t>-</t>
    </r>
    <r>
      <rPr>
        <sz val="7"/>
        <color theme="0"/>
        <rFont val="Times New Roman"/>
        <family val="1"/>
      </rPr>
      <t xml:space="preserve">          </t>
    </r>
    <r>
      <rPr>
        <sz val="11"/>
        <color theme="0"/>
        <rFont val="Calibri"/>
        <family val="2"/>
        <scheme val="minor"/>
      </rPr>
      <t>16 weeks academic transition in lieu</t>
    </r>
  </si>
  <si>
    <r>
      <t>-</t>
    </r>
    <r>
      <rPr>
        <sz val="7"/>
        <color theme="0"/>
        <rFont val="Times New Roman"/>
        <family val="1"/>
      </rPr>
      <t xml:space="preserve">          </t>
    </r>
    <r>
      <rPr>
        <sz val="11"/>
        <color theme="0"/>
        <rFont val="Calibri"/>
        <family val="2"/>
        <scheme val="minor"/>
      </rPr>
      <t>12 weeks redeployment in lieu</t>
    </r>
  </si>
  <si>
    <r>
      <t>-</t>
    </r>
    <r>
      <rPr>
        <sz val="7"/>
        <color theme="0"/>
        <rFont val="Times New Roman"/>
        <family val="1"/>
      </rPr>
      <t xml:space="preserve">          </t>
    </r>
    <r>
      <rPr>
        <sz val="11"/>
        <color theme="0"/>
        <rFont val="Calibri"/>
        <family val="2"/>
        <scheme val="minor"/>
      </rPr>
      <t>6-7 weeks’ notice in lieu (dependent on age)</t>
    </r>
  </si>
  <si>
    <r>
      <t>-</t>
    </r>
    <r>
      <rPr>
        <sz val="7"/>
        <color theme="0"/>
        <rFont val="Times New Roman"/>
        <family val="1"/>
      </rPr>
      <t xml:space="preserve">          </t>
    </r>
    <r>
      <rPr>
        <sz val="11"/>
        <color theme="0"/>
        <rFont val="Calibri"/>
        <family val="2"/>
        <scheme val="minor"/>
      </rPr>
      <t>AL + LSL accruals</t>
    </r>
  </si>
  <si>
    <r>
      <t>$1,800 flat rate increase to base salary</t>
    </r>
    <r>
      <rPr>
        <b/>
        <sz val="11"/>
        <color theme="0"/>
        <rFont val="Arial"/>
        <family val="2"/>
      </rPr>
      <t xml:space="preserve"> </t>
    </r>
  </si>
  <si>
    <r>
      <t>2% increase</t>
    </r>
    <r>
      <rPr>
        <b/>
        <sz val="11"/>
        <color theme="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</si>
</sst>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164" formatCode="&quot;$&quot;#,##0.00;\-&quot;$&quot;#,##0.00"/>
    <numFmt numFmtId="165" formatCode="_-&quot;$&quot;* #,##0.00_-;\-&quot;$&quot;* #,##0.00_-;_-&quot;$&quot;* &quot;-&quot;??_-;_-@_-"/>
    <numFmt numFmtId="166" formatCode="_-* #,##0.00_-;\-* #,##0.00_-;_-* &quot;-&quot;??_-;_-@_-"/>
    <numFmt numFmtId="167" formatCode="_-&quot;$&quot;* #,##0_-;\-&quot;$&quot;* #,##0_-;_-&quot;$&quot;* &quot;-&quot;??_-;_-@_-"/>
    <numFmt numFmtId="168" formatCode="d/mm/yyyy;@"/>
    <numFmt numFmtId="169" formatCode="0000000"/>
    <numFmt numFmtId="170" formatCode="&quot;$&quot;#,##0.00"/>
  </numFmts>
  <fonts count="18" x14ac:knownFonts="1">
    <font>
      <sz val="11"/>
      <color theme="1"/>
      <name val="Calibri"/>
      <family val="2"/>
      <scheme val="minor"/>
    </font>
    <font>
      <sz val="11"/>
      <color theme="1"/>
      <name val="Calibri"/>
      <family val="2"/>
      <scheme val="minor"/>
    </font>
    <font>
      <sz val="11"/>
      <color rgb="FF9C6500"/>
      <name val="Calibri"/>
      <family val="2"/>
      <scheme val="minor"/>
    </font>
    <font>
      <b/>
      <sz val="11"/>
      <color theme="1"/>
      <name val="Calibri"/>
      <family val="2"/>
      <scheme val="minor"/>
    </font>
    <font>
      <sz val="11"/>
      <color rgb="FF006100"/>
      <name val="Calibri"/>
      <family val="2"/>
      <scheme val="minor"/>
    </font>
    <font>
      <sz val="9"/>
      <color indexed="81"/>
      <name val="Tahoma"/>
      <family val="2"/>
    </font>
    <font>
      <b/>
      <sz val="9"/>
      <color indexed="81"/>
      <name val="Tahoma"/>
      <family val="2"/>
    </font>
    <font>
      <sz val="18"/>
      <color theme="1"/>
      <name val="Calibri"/>
      <family val="2"/>
      <scheme val="minor"/>
    </font>
    <font>
      <sz val="12"/>
      <name val="Times New Roman"/>
      <family val="1"/>
    </font>
    <font>
      <b/>
      <sz val="16"/>
      <color rgb="FFFF0000"/>
      <name val="Calibri"/>
      <family val="2"/>
      <scheme val="minor"/>
    </font>
    <font>
      <b/>
      <i/>
      <sz val="11"/>
      <color theme="1"/>
      <name val="Calibri"/>
      <family val="2"/>
      <scheme val="minor"/>
    </font>
    <font>
      <sz val="11"/>
      <color theme="0"/>
      <name val="Calibri"/>
      <family val="2"/>
      <scheme val="minor"/>
    </font>
    <font>
      <sz val="11"/>
      <color theme="0"/>
      <name val="Arial Narrow"/>
      <family val="2"/>
    </font>
    <font>
      <sz val="12"/>
      <color theme="0"/>
      <name val="Times New Roman"/>
      <family val="1"/>
    </font>
    <font>
      <sz val="7"/>
      <color theme="0"/>
      <name val="Times New Roman"/>
      <family val="1"/>
    </font>
    <font>
      <b/>
      <sz val="11"/>
      <color theme="0"/>
      <name val="Arial"/>
      <family val="2"/>
    </font>
    <font>
      <i/>
      <sz val="11"/>
      <color theme="0"/>
      <name val="Arial"/>
      <family val="2"/>
    </font>
    <font>
      <sz val="11"/>
      <color theme="0"/>
      <name val="Arial"/>
      <family val="2"/>
    </font>
  </fonts>
  <fills count="4">
    <fill>
      <patternFill patternType="none"/>
    </fill>
    <fill>
      <patternFill patternType="gray125"/>
    </fill>
    <fill>
      <patternFill patternType="solid">
        <fgColor rgb="FFFFEB9C"/>
      </patternFill>
    </fill>
    <fill>
      <patternFill patternType="solid">
        <fgColor rgb="FFC6EFCE"/>
      </patternFill>
    </fill>
  </fills>
  <borders count="12">
    <border>
      <left/>
      <right/>
      <top/>
      <bottom/>
      <diagonal/>
    </border>
    <border>
      <left/>
      <right/>
      <top style="medium">
        <color indexed="64"/>
      </top>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166" fontId="1" fillId="0" borderId="0" applyFont="0" applyFill="0" applyBorder="0" applyAlignment="0" applyProtection="0"/>
    <xf numFmtId="165" fontId="1" fillId="0" borderId="0" applyFont="0" applyFill="0" applyBorder="0" applyAlignment="0" applyProtection="0"/>
    <xf numFmtId="0" fontId="2" fillId="2" borderId="0" applyNumberFormat="0" applyBorder="0" applyAlignment="0" applyProtection="0"/>
    <xf numFmtId="0" fontId="4" fillId="3" borderId="0" applyNumberFormat="0" applyBorder="0" applyAlignment="0" applyProtection="0"/>
    <xf numFmtId="9" fontId="1" fillId="0" borderId="0" applyFont="0" applyFill="0" applyBorder="0" applyAlignment="0" applyProtection="0"/>
    <xf numFmtId="0" fontId="8" fillId="0" borderId="0"/>
    <xf numFmtId="0" fontId="1" fillId="0" borderId="0"/>
    <xf numFmtId="0" fontId="8" fillId="0" borderId="0"/>
  </cellStyleXfs>
  <cellXfs count="76">
    <xf numFmtId="0" fontId="0" fillId="0" borderId="0" xfId="0"/>
    <xf numFmtId="0" fontId="0" fillId="0" borderId="0" xfId="0" applyAlignment="1">
      <alignment horizontal="left"/>
    </xf>
    <xf numFmtId="0" fontId="0" fillId="0" borderId="0" xfId="0" applyAlignment="1">
      <alignment horizontal="center"/>
    </xf>
    <xf numFmtId="14" fontId="0" fillId="0" borderId="0" xfId="0" applyNumberFormat="1"/>
    <xf numFmtId="0" fontId="3" fillId="0" borderId="0" xfId="0" applyFont="1"/>
    <xf numFmtId="0" fontId="0" fillId="0" borderId="2" xfId="0" applyBorder="1"/>
    <xf numFmtId="0" fontId="0" fillId="0" borderId="1" xfId="0" applyBorder="1" applyAlignment="1">
      <alignment horizontal="center"/>
    </xf>
    <xf numFmtId="0" fontId="0" fillId="0" borderId="4" xfId="0" applyBorder="1"/>
    <xf numFmtId="0" fontId="0" fillId="0" borderId="5" xfId="0" applyBorder="1"/>
    <xf numFmtId="0" fontId="0" fillId="0" borderId="6"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3" fillId="0" borderId="5" xfId="0" applyFont="1" applyBorder="1"/>
    <xf numFmtId="9" fontId="0" fillId="0" borderId="0" xfId="0" applyNumberFormat="1" applyAlignment="1">
      <alignment horizontal="center"/>
    </xf>
    <xf numFmtId="9" fontId="0" fillId="0" borderId="8" xfId="0" applyNumberFormat="1" applyBorder="1" applyAlignment="1">
      <alignment horizontal="center"/>
    </xf>
    <xf numFmtId="0" fontId="0" fillId="0" borderId="3" xfId="0" applyBorder="1"/>
    <xf numFmtId="0" fontId="0" fillId="0" borderId="3" xfId="0" applyBorder="1" applyAlignment="1">
      <alignment horizontal="center"/>
    </xf>
    <xf numFmtId="0" fontId="0" fillId="0" borderId="3" xfId="0" applyBorder="1" applyAlignment="1">
      <alignment wrapText="1"/>
    </xf>
    <xf numFmtId="0" fontId="3" fillId="0" borderId="3" xfId="0" applyFont="1" applyBorder="1"/>
    <xf numFmtId="0" fontId="3" fillId="0" borderId="3" xfId="0" applyFont="1" applyBorder="1" applyAlignment="1">
      <alignment wrapText="1"/>
    </xf>
    <xf numFmtId="0" fontId="7" fillId="0" borderId="0" xfId="0" applyFont="1"/>
    <xf numFmtId="0" fontId="8" fillId="0" borderId="0" xfId="6"/>
    <xf numFmtId="2" fontId="0" fillId="0" borderId="6" xfId="0" applyNumberFormat="1" applyBorder="1" applyAlignment="1">
      <alignment horizontal="center"/>
    </xf>
    <xf numFmtId="2" fontId="0" fillId="0" borderId="8" xfId="5" applyNumberFormat="1" applyFont="1" applyBorder="1" applyAlignment="1">
      <alignment horizontal="center"/>
    </xf>
    <xf numFmtId="0" fontId="9" fillId="0" borderId="0" xfId="0" applyFont="1"/>
    <xf numFmtId="14" fontId="0" fillId="0" borderId="0" xfId="0" applyNumberFormat="1" applyAlignment="1">
      <alignment horizontal="center"/>
    </xf>
    <xf numFmtId="2" fontId="0" fillId="0" borderId="0" xfId="0" applyNumberFormat="1" applyAlignment="1">
      <alignment horizontal="center"/>
    </xf>
    <xf numFmtId="4" fontId="0" fillId="0" borderId="0" xfId="0" applyNumberFormat="1" applyAlignment="1">
      <alignment horizontal="center"/>
    </xf>
    <xf numFmtId="4" fontId="0" fillId="0" borderId="7" xfId="0" applyNumberFormat="1" applyBorder="1" applyAlignment="1">
      <alignment horizontal="center"/>
    </xf>
    <xf numFmtId="4" fontId="0" fillId="0" borderId="8" xfId="0" applyNumberFormat="1" applyBorder="1" applyAlignment="1">
      <alignment horizontal="center"/>
    </xf>
    <xf numFmtId="165" fontId="3" fillId="0" borderId="0" xfId="2" applyFont="1" applyBorder="1" applyAlignment="1">
      <alignment horizontal="center"/>
    </xf>
    <xf numFmtId="167" fontId="3" fillId="0" borderId="0" xfId="2" applyNumberFormat="1" applyFont="1" applyBorder="1" applyAlignment="1">
      <alignment horizontal="center"/>
    </xf>
    <xf numFmtId="168" fontId="3" fillId="0" borderId="0" xfId="0" applyNumberFormat="1" applyFont="1" applyAlignment="1">
      <alignment horizontal="left"/>
    </xf>
    <xf numFmtId="14" fontId="2" fillId="2" borderId="11" xfId="3" applyNumberFormat="1" applyBorder="1" applyAlignment="1" applyProtection="1">
      <alignment horizontal="center"/>
      <protection locked="0"/>
    </xf>
    <xf numFmtId="14" fontId="2" fillId="2" borderId="0" xfId="3" applyNumberFormat="1" applyAlignment="1" applyProtection="1">
      <alignment horizontal="center"/>
      <protection locked="0"/>
    </xf>
    <xf numFmtId="2" fontId="2" fillId="2" borderId="0" xfId="3" applyNumberFormat="1" applyAlignment="1" applyProtection="1">
      <alignment horizontal="center"/>
      <protection locked="0"/>
    </xf>
    <xf numFmtId="0" fontId="2" fillId="2" borderId="0" xfId="3" applyAlignment="1" applyProtection="1">
      <alignment horizontal="center"/>
      <protection locked="0"/>
    </xf>
    <xf numFmtId="169" fontId="2" fillId="2" borderId="11" xfId="3" applyNumberFormat="1" applyBorder="1" applyAlignment="1" applyProtection="1">
      <alignment horizontal="center"/>
      <protection locked="0"/>
    </xf>
    <xf numFmtId="170" fontId="2" fillId="2" borderId="0" xfId="3" applyNumberFormat="1" applyAlignment="1" applyProtection="1">
      <alignment horizontal="center"/>
      <protection locked="0"/>
    </xf>
    <xf numFmtId="170" fontId="0" fillId="0" borderId="0" xfId="0" applyNumberFormat="1" applyAlignment="1">
      <alignment horizontal="center"/>
    </xf>
    <xf numFmtId="0" fontId="0" fillId="0" borderId="10" xfId="0" applyBorder="1" applyAlignment="1">
      <alignment horizontal="left"/>
    </xf>
    <xf numFmtId="0" fontId="0" fillId="0" borderId="5" xfId="0" applyBorder="1" applyAlignment="1">
      <alignment horizontal="left"/>
    </xf>
    <xf numFmtId="164" fontId="3" fillId="0" borderId="9" xfId="2" applyNumberFormat="1" applyFont="1" applyBorder="1" applyAlignment="1">
      <alignment horizontal="center"/>
    </xf>
    <xf numFmtId="170" fontId="0" fillId="0" borderId="7" xfId="0" applyNumberFormat="1" applyBorder="1" applyAlignment="1">
      <alignment horizontal="center"/>
    </xf>
    <xf numFmtId="170" fontId="0" fillId="0" borderId="8" xfId="0" applyNumberFormat="1" applyBorder="1" applyAlignment="1">
      <alignment horizontal="center"/>
    </xf>
    <xf numFmtId="170" fontId="3" fillId="0" borderId="9" xfId="0" applyNumberFormat="1" applyFont="1" applyBorder="1" applyAlignment="1">
      <alignment horizontal="center"/>
    </xf>
    <xf numFmtId="0" fontId="10" fillId="0" borderId="0" xfId="0" applyFont="1" applyAlignment="1">
      <alignment horizontal="left"/>
    </xf>
    <xf numFmtId="4" fontId="10" fillId="0" borderId="0" xfId="0" applyNumberFormat="1" applyFont="1" applyAlignment="1">
      <alignment horizontal="left"/>
    </xf>
    <xf numFmtId="0" fontId="2" fillId="0" borderId="0" xfId="3" applyFill="1" applyAlignment="1" applyProtection="1">
      <alignment horizontal="center"/>
      <protection locked="0"/>
    </xf>
    <xf numFmtId="170" fontId="0" fillId="0" borderId="0" xfId="0" applyNumberFormat="1"/>
    <xf numFmtId="170" fontId="0" fillId="0" borderId="3" xfId="2" applyNumberFormat="1" applyFont="1" applyBorder="1" applyAlignment="1">
      <alignment horizontal="center"/>
    </xf>
    <xf numFmtId="0" fontId="0" fillId="0" borderId="0" xfId="0" applyAlignment="1">
      <alignment horizontal="right"/>
    </xf>
    <xf numFmtId="170" fontId="3" fillId="0" borderId="3" xfId="2" applyNumberFormat="1" applyFont="1" applyBorder="1" applyAlignment="1">
      <alignment horizontal="center"/>
    </xf>
    <xf numFmtId="9" fontId="0" fillId="0" borderId="3" xfId="5" applyFont="1" applyBorder="1" applyAlignment="1">
      <alignment horizontal="center"/>
    </xf>
    <xf numFmtId="0" fontId="11" fillId="0" borderId="0" xfId="0" applyFont="1"/>
    <xf numFmtId="0" fontId="12" fillId="0" borderId="0" xfId="0" applyFont="1"/>
    <xf numFmtId="7" fontId="12" fillId="0" borderId="0" xfId="0" applyNumberFormat="1" applyFont="1"/>
    <xf numFmtId="0" fontId="13" fillId="0" borderId="0" xfId="6" applyFont="1"/>
    <xf numFmtId="0" fontId="11" fillId="0" borderId="0" xfId="0" quotePrefix="1" applyFont="1" applyAlignment="1">
      <alignment horizontal="left" vertical="center" indent="4"/>
    </xf>
    <xf numFmtId="0" fontId="11" fillId="0" borderId="0" xfId="0" applyFont="1" applyAlignment="1">
      <alignment horizontal="left" vertical="center" indent="4"/>
    </xf>
    <xf numFmtId="166" fontId="17" fillId="0" borderId="0" xfId="1" applyFont="1" applyFill="1" applyBorder="1" applyAlignment="1">
      <alignment horizontal="center" vertical="center" wrapText="1"/>
    </xf>
    <xf numFmtId="0" fontId="11" fillId="0" borderId="0" xfId="0" applyFont="1" applyAlignment="1">
      <alignment horizontal="left"/>
    </xf>
    <xf numFmtId="0" fontId="11" fillId="0" borderId="0" xfId="0" applyFont="1" applyAlignment="1">
      <alignment horizontal="center"/>
    </xf>
    <xf numFmtId="15" fontId="15" fillId="0" borderId="0" xfId="0" applyNumberFormat="1" applyFont="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justify" vertical="center" wrapText="1"/>
    </xf>
    <xf numFmtId="10" fontId="16" fillId="0" borderId="0" xfId="0" applyNumberFormat="1" applyFont="1" applyAlignment="1">
      <alignment horizontal="right" vertical="center" wrapText="1"/>
    </xf>
    <xf numFmtId="0" fontId="17" fillId="0" borderId="0" xfId="0" applyFont="1" applyAlignment="1">
      <alignment horizontal="left" vertical="center" wrapText="1"/>
    </xf>
    <xf numFmtId="167" fontId="17" fillId="0" borderId="0" xfId="2" applyNumberFormat="1" applyFont="1" applyFill="1" applyBorder="1" applyAlignment="1">
      <alignment horizontal="center" vertical="center" wrapText="1"/>
    </xf>
    <xf numFmtId="0" fontId="11" fillId="0" borderId="0" xfId="4" applyFont="1" applyFill="1"/>
    <xf numFmtId="14" fontId="11" fillId="0" borderId="0" xfId="0" applyNumberFormat="1" applyFont="1"/>
    <xf numFmtId="0" fontId="3" fillId="0" borderId="0" xfId="0" applyFont="1" applyAlignment="1">
      <alignment wrapText="1"/>
    </xf>
    <xf numFmtId="0" fontId="16" fillId="0" borderId="0" xfId="0" applyFont="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cellXfs>
  <cellStyles count="9">
    <cellStyle name="Comma" xfId="1" builtinId="3"/>
    <cellStyle name="Currency" xfId="2" builtinId="4"/>
    <cellStyle name="Good" xfId="4" builtinId="26"/>
    <cellStyle name="Neutral" xfId="3" builtinId="28"/>
    <cellStyle name="Normal" xfId="0" builtinId="0"/>
    <cellStyle name="Normal 3" xfId="6" xr:uid="{00000000-0005-0000-0000-000006000000}"/>
    <cellStyle name="Normal 4" xfId="8" xr:uid="{00000000-0005-0000-0000-000007000000}"/>
    <cellStyle name="Normal 6" xfId="7" xr:uid="{00000000-0005-0000-0000-000008000000}"/>
    <cellStyle name="Per 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2</xdr:col>
      <xdr:colOff>1371600</xdr:colOff>
      <xdr:row>0</xdr:row>
      <xdr:rowOff>179070</xdr:rowOff>
    </xdr:from>
    <xdr:to>
      <xdr:col>4</xdr:col>
      <xdr:colOff>1017473</xdr:colOff>
      <xdr:row>4</xdr:row>
      <xdr:rowOff>247727</xdr:rowOff>
    </xdr:to>
    <xdr:pic>
      <xdr:nvPicPr>
        <xdr:cNvPr id="2" name="Picture 1" title="The Australian National Universit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7425" y="179070"/>
          <a:ext cx="2122373" cy="8306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u365-my.sharepoint.com/Personnel/Pay%20Processing%20Electronic/Pay%20Processing%20%20-%20Current%20Pay%20Period/Alison/OLD/Josie/Calculator/ANU_Change%20of%20Hour_Salary_Calculator_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ary on-cost table"/>
      <sheetName val="Tax"/>
      <sheetName val="Table_Lookup"/>
      <sheetName val="TM1_Sal_Assumptions"/>
      <sheetName val="HR_Website"/>
      <sheetName val="check"/>
    </sheetNames>
    <sheetDataSet>
      <sheetData sheetId="0">
        <row r="4">
          <cell r="D4" t="str">
            <v>July-19 to July-21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5:H61"/>
  <sheetViews>
    <sheetView showGridLines="0" tabSelected="1" topLeftCell="A4" zoomScaleNormal="100" workbookViewId="0">
      <selection activeCell="C10" sqref="C10"/>
    </sheetView>
  </sheetViews>
  <sheetFormatPr baseColWidth="10" defaultColWidth="8.83203125" defaultRowHeight="15" x14ac:dyDescent="0.2"/>
  <cols>
    <col min="1" max="1" width="7.5" customWidth="1"/>
    <col min="2" max="2" width="62.83203125" bestFit="1" customWidth="1"/>
    <col min="3" max="4" width="16.5" style="2" customWidth="1"/>
    <col min="5" max="5" width="23.33203125" style="2" customWidth="1"/>
    <col min="6" max="6" width="23.83203125" style="2" customWidth="1"/>
    <col min="7" max="7" width="12.5" bestFit="1" customWidth="1"/>
    <col min="8" max="8" width="11.1640625" bestFit="1" customWidth="1"/>
  </cols>
  <sheetData>
    <row r="5" spans="2:3" ht="24" x14ac:dyDescent="0.3">
      <c r="B5" s="21" t="s">
        <v>0</v>
      </c>
    </row>
    <row r="6" spans="2:3" ht="21" x14ac:dyDescent="0.25">
      <c r="B6" s="25" t="s">
        <v>1</v>
      </c>
    </row>
    <row r="9" spans="2:3" ht="16" thickBot="1" x14ac:dyDescent="0.25"/>
    <row r="10" spans="2:3" ht="16" thickBot="1" x14ac:dyDescent="0.25">
      <c r="B10" s="41" t="s">
        <v>2</v>
      </c>
      <c r="C10" s="38"/>
    </row>
    <row r="11" spans="2:3" ht="16" thickBot="1" x14ac:dyDescent="0.25">
      <c r="B11" s="42" t="s">
        <v>3</v>
      </c>
      <c r="C11" s="34"/>
    </row>
    <row r="13" spans="2:3" ht="23" customHeight="1" x14ac:dyDescent="0.2">
      <c r="B13" s="4" t="s">
        <v>4</v>
      </c>
      <c r="C13" s="35">
        <v>33773</v>
      </c>
    </row>
    <row r="14" spans="2:3" hidden="1" x14ac:dyDescent="0.2">
      <c r="B14" t="s">
        <v>5</v>
      </c>
      <c r="C14" s="2">
        <f>DATEDIF(C13,C17,"Y")</f>
        <v>32</v>
      </c>
    </row>
    <row r="15" spans="2:3" hidden="1" x14ac:dyDescent="0.2">
      <c r="B15" s="4" t="s">
        <v>6</v>
      </c>
      <c r="C15" s="2">
        <f>DATEDIF(C13,C18,"Y")</f>
        <v>33</v>
      </c>
    </row>
    <row r="16" spans="2:3" x14ac:dyDescent="0.2">
      <c r="B16" s="4" t="s">
        <v>7</v>
      </c>
      <c r="C16" s="35">
        <v>44896</v>
      </c>
    </row>
    <row r="17" spans="2:7" x14ac:dyDescent="0.2">
      <c r="B17" s="4" t="s">
        <v>8</v>
      </c>
      <c r="C17" s="35">
        <v>45716</v>
      </c>
      <c r="F17" s="26"/>
      <c r="G17" s="3"/>
    </row>
    <row r="18" spans="2:7" hidden="1" x14ac:dyDescent="0.2">
      <c r="B18" s="4" t="s">
        <v>9</v>
      </c>
      <c r="C18" s="26">
        <v>45838</v>
      </c>
    </row>
    <row r="19" spans="2:7" hidden="1" x14ac:dyDescent="0.2">
      <c r="B19" s="4" t="s">
        <v>10</v>
      </c>
      <c r="C19" s="35"/>
    </row>
    <row r="20" spans="2:7" x14ac:dyDescent="0.2">
      <c r="B20" s="4"/>
      <c r="C20" s="26"/>
    </row>
    <row r="21" spans="2:7" x14ac:dyDescent="0.2">
      <c r="B21" s="4" t="s">
        <v>11</v>
      </c>
      <c r="C21" s="37" t="s">
        <v>12</v>
      </c>
    </row>
    <row r="22" spans="2:7" x14ac:dyDescent="0.2">
      <c r="B22" s="4" t="s">
        <v>13</v>
      </c>
      <c r="C22" s="36">
        <v>183.75</v>
      </c>
    </row>
    <row r="23" spans="2:7" x14ac:dyDescent="0.2">
      <c r="B23" s="4" t="s">
        <v>14</v>
      </c>
      <c r="C23" s="37">
        <f>1.3*35*5</f>
        <v>227.5</v>
      </c>
    </row>
    <row r="24" spans="2:7" x14ac:dyDescent="0.2">
      <c r="B24" s="4" t="s">
        <v>15</v>
      </c>
      <c r="C24" s="37">
        <v>910</v>
      </c>
    </row>
    <row r="25" spans="2:7" x14ac:dyDescent="0.2">
      <c r="B25" s="4"/>
      <c r="C25" s="49"/>
    </row>
    <row r="26" spans="2:7" x14ac:dyDescent="0.2">
      <c r="B26" s="4" t="s">
        <v>16</v>
      </c>
      <c r="C26" s="39">
        <v>100000</v>
      </c>
      <c r="F26" s="26"/>
    </row>
    <row r="27" spans="2:7" hidden="1" x14ac:dyDescent="0.2">
      <c r="B27" s="4" t="s">
        <v>17</v>
      </c>
      <c r="C27" s="40">
        <f>C26*12/313/70</f>
        <v>54.769511638521223</v>
      </c>
    </row>
    <row r="28" spans="2:7" x14ac:dyDescent="0.2">
      <c r="B28" s="4" t="s">
        <v>18</v>
      </c>
      <c r="C28" s="39"/>
    </row>
    <row r="29" spans="2:7" x14ac:dyDescent="0.2">
      <c r="B29" s="4" t="s">
        <v>19</v>
      </c>
      <c r="C29" s="37">
        <v>35</v>
      </c>
    </row>
    <row r="30" spans="2:7" hidden="1" x14ac:dyDescent="0.2">
      <c r="B30" s="4" t="s">
        <v>20</v>
      </c>
      <c r="C30" s="2">
        <f>C29/35</f>
        <v>1</v>
      </c>
    </row>
    <row r="31" spans="2:7" ht="14.25" customHeight="1" x14ac:dyDescent="0.2"/>
    <row r="32" spans="2:7" ht="18" customHeight="1" x14ac:dyDescent="0.2">
      <c r="B32" t="s">
        <v>21</v>
      </c>
      <c r="C32" s="28">
        <f>SUM(C17-C16+1)/365.25</f>
        <v>2.2477754962354553</v>
      </c>
    </row>
    <row r="33" spans="2:8" x14ac:dyDescent="0.2">
      <c r="B33" t="s">
        <v>22</v>
      </c>
      <c r="C33" s="27">
        <f>ROUND(((SUM(C17-C16+1)/365.25*C30)-C34),2)</f>
        <v>1.75</v>
      </c>
    </row>
    <row r="34" spans="2:8" x14ac:dyDescent="0.2">
      <c r="B34" t="s">
        <v>23</v>
      </c>
      <c r="C34" s="2">
        <f>ROUND(C24/1820,2)</f>
        <v>0.5</v>
      </c>
    </row>
    <row r="35" spans="2:8" ht="16" thickBot="1" x14ac:dyDescent="0.25"/>
    <row r="36" spans="2:8" x14ac:dyDescent="0.2">
      <c r="B36" s="5" t="s">
        <v>24</v>
      </c>
      <c r="C36" s="29">
        <f>ROUNDDOWN(IF(C21="Academic",(IF(C33*3&lt;5,5,(IF(C33*3&gt;68,68,(C33*3))))),(IF(C33*3&lt;5,5,(IF(C33*3&gt;64,64,(C33*3)))))),2)</f>
        <v>5.25</v>
      </c>
      <c r="D36" s="48" t="str">
        <f>IF(C36=64,"Separation payment capped at maximum 64 weeks",(IF(C36=68,"Separation payment capped at maximum 68 weeks","")))</f>
        <v/>
      </c>
      <c r="E36" s="40"/>
      <c r="H36" s="50"/>
    </row>
    <row r="37" spans="2:8" x14ac:dyDescent="0.2">
      <c r="B37" s="7" t="s">
        <v>25</v>
      </c>
      <c r="C37" s="30">
        <v>6</v>
      </c>
      <c r="E37" s="40"/>
      <c r="F37" s="40"/>
      <c r="H37" s="50"/>
    </row>
    <row r="38" spans="2:8" x14ac:dyDescent="0.2">
      <c r="B38" s="7" t="s">
        <v>26</v>
      </c>
      <c r="C38" s="30">
        <f>IF(SUM(C36:C37)&gt;78,78,SUM(C36:C37))</f>
        <v>11.25</v>
      </c>
      <c r="D38" s="47" t="str">
        <f>IF(C38=78,"Total payment capped at maximum 78 weeks","")</f>
        <v/>
      </c>
    </row>
    <row r="39" spans="2:8" ht="16" thickBot="1" x14ac:dyDescent="0.25">
      <c r="B39" s="13" t="s">
        <v>27</v>
      </c>
      <c r="C39" s="43">
        <f>SUM(C36*35*(C27+C28)+(C37*C29*(C27+C28)))</f>
        <v>21565.495207667729</v>
      </c>
      <c r="E39" s="40"/>
      <c r="F39" s="40"/>
      <c r="H39" s="50"/>
    </row>
    <row r="40" spans="2:8" x14ac:dyDescent="0.2">
      <c r="B40" s="5" t="s">
        <v>28</v>
      </c>
      <c r="C40" s="44">
        <f>C22*(C27)</f>
        <v>10063.897763578274</v>
      </c>
    </row>
    <row r="41" spans="2:8" x14ac:dyDescent="0.2">
      <c r="B41" s="7" t="s">
        <v>29</v>
      </c>
      <c r="C41" s="45">
        <f>IF(C33&lt;1,0,C23*(C27))</f>
        <v>12460.063897763579</v>
      </c>
    </row>
    <row r="42" spans="2:8" ht="20.25" customHeight="1" thickBot="1" x14ac:dyDescent="0.25">
      <c r="B42" s="13" t="s">
        <v>30</v>
      </c>
      <c r="C42" s="46">
        <f>SUM(C39:C41)</f>
        <v>44089.456869009577</v>
      </c>
    </row>
    <row r="44" spans="2:8" hidden="1" x14ac:dyDescent="0.2">
      <c r="B44" s="5" t="s">
        <v>31</v>
      </c>
      <c r="C44" s="6">
        <f>VLOOKUP(C13,'Age Determination '!A3:D7,4)</f>
        <v>67</v>
      </c>
      <c r="D44" s="6"/>
      <c r="E44" s="6"/>
      <c r="F44" s="10"/>
    </row>
    <row r="45" spans="2:8" hidden="1" x14ac:dyDescent="0.2">
      <c r="B45" s="7" t="s">
        <v>32</v>
      </c>
      <c r="C45" s="2" t="str">
        <f>IF(C14&gt;=C44,"No","Yes")</f>
        <v>Yes</v>
      </c>
      <c r="F45" s="12"/>
      <c r="G45" t="s">
        <v>33</v>
      </c>
    </row>
    <row r="46" spans="2:8" hidden="1" x14ac:dyDescent="0.2">
      <c r="B46" s="7" t="s">
        <v>34</v>
      </c>
      <c r="C46" s="2">
        <f>IF(C45="Yes",SUM(6264*ROUNDDOWN((SUM(C17-C16+1)/365.25),0)+12524),0)</f>
        <v>25052</v>
      </c>
      <c r="E46" s="2" t="s">
        <v>35</v>
      </c>
      <c r="F46" s="12" t="s">
        <v>36</v>
      </c>
    </row>
    <row r="47" spans="2:8" hidden="1" x14ac:dyDescent="0.2">
      <c r="B47" s="7" t="s">
        <v>37</v>
      </c>
      <c r="C47" s="2">
        <f>VLOOKUP(C13,'Preservation Age'!A1:D6,4)</f>
        <v>60</v>
      </c>
      <c r="E47" s="14">
        <f>IF(C15&gt;=C47,17%,32%)</f>
        <v>0.32</v>
      </c>
      <c r="F47" s="15">
        <v>0.47</v>
      </c>
    </row>
    <row r="48" spans="2:8" hidden="1" x14ac:dyDescent="0.2">
      <c r="B48" s="7"/>
      <c r="C48" s="2" t="s">
        <v>38</v>
      </c>
      <c r="E48" s="14" t="s">
        <v>39</v>
      </c>
      <c r="F48" s="15" t="s">
        <v>40</v>
      </c>
    </row>
    <row r="49" spans="1:6" hidden="1" x14ac:dyDescent="0.2">
      <c r="B49" s="7"/>
      <c r="E49" s="2">
        <f>C40/26+C50</f>
        <v>4220.9388056033422</v>
      </c>
      <c r="F49" s="24">
        <f>C41/26+C50</f>
        <v>4313.0990415335464</v>
      </c>
    </row>
    <row r="50" spans="1:6" ht="16" hidden="1" thickBot="1" x14ac:dyDescent="0.25">
      <c r="B50" s="8" t="s">
        <v>41</v>
      </c>
      <c r="C50" s="23">
        <f>C26*12/313</f>
        <v>3833.8658146964858</v>
      </c>
      <c r="D50" s="9"/>
      <c r="E50" s="23">
        <f>C40*TAX!C1</f>
        <v>3924.9201277955272</v>
      </c>
      <c r="F50" s="11">
        <f>TAX!C1*DATA!C41</f>
        <v>4859.4249201277962</v>
      </c>
    </row>
    <row r="52" spans="1:6" x14ac:dyDescent="0.2">
      <c r="A52" s="52"/>
      <c r="B52" s="16" t="s">
        <v>42</v>
      </c>
      <c r="C52" s="17" t="s">
        <v>43</v>
      </c>
      <c r="D52" s="17" t="s">
        <v>44</v>
      </c>
      <c r="E52" s="17" t="s">
        <v>45</v>
      </c>
      <c r="F52" s="17" t="s">
        <v>46</v>
      </c>
    </row>
    <row r="53" spans="1:6" ht="32" x14ac:dyDescent="0.2">
      <c r="B53" s="18" t="s">
        <v>47</v>
      </c>
      <c r="C53" s="51">
        <f>C40</f>
        <v>10063.897763578274</v>
      </c>
      <c r="D53" s="54">
        <f>IF(C15&gt;=C44, "Marginal Tax", 32%)</f>
        <v>0.32</v>
      </c>
      <c r="E53" s="51">
        <f>ROUND(IF(D53=32%,C53*D53,E50),0)</f>
        <v>3220</v>
      </c>
      <c r="F53" s="51">
        <f>C53-E53</f>
        <v>6843.897763578274</v>
      </c>
    </row>
    <row r="54" spans="1:6" ht="32" x14ac:dyDescent="0.2">
      <c r="B54" s="18" t="s">
        <v>48</v>
      </c>
      <c r="C54" s="51">
        <f>C41</f>
        <v>12460.063897763579</v>
      </c>
      <c r="D54" s="54">
        <f>IF(C15&gt;=C44,"Marginal Tax",32%)</f>
        <v>0.32</v>
      </c>
      <c r="E54" s="51">
        <f>ROUND(IF(D54=32%,C54*D54,F50),0)</f>
        <v>3987</v>
      </c>
      <c r="F54" s="51">
        <f>C54-E54</f>
        <v>8473.063897763579</v>
      </c>
    </row>
    <row r="55" spans="1:6" ht="48" x14ac:dyDescent="0.2">
      <c r="B55" s="18" t="s">
        <v>49</v>
      </c>
      <c r="C55" s="51">
        <f>IF(C39&gt;=C46,C46,C39)</f>
        <v>21565.495207667729</v>
      </c>
      <c r="D55" s="54">
        <v>0</v>
      </c>
      <c r="E55" s="51">
        <v>0</v>
      </c>
      <c r="F55" s="51">
        <f>C55</f>
        <v>21565.495207667729</v>
      </c>
    </row>
    <row r="56" spans="1:6" ht="27.75" customHeight="1" x14ac:dyDescent="0.2">
      <c r="B56" s="20" t="s">
        <v>50</v>
      </c>
      <c r="C56" s="51" t="str">
        <f>IF(C39&gt;C46,C39-C46,"")</f>
        <v/>
      </c>
      <c r="D56" s="54" t="str">
        <f>IF(C56="","",IF(C15&gt;=C47,"17%","32%"))</f>
        <v/>
      </c>
      <c r="E56" s="51" t="str">
        <f>IF(C56="","",ROUND(C56*D56,0))</f>
        <v/>
      </c>
      <c r="F56" s="51" t="str">
        <f>IF(C56="","",C56-E56)</f>
        <v/>
      </c>
    </row>
    <row r="57" spans="1:6" ht="22.25" customHeight="1" x14ac:dyDescent="0.2">
      <c r="B57" s="19" t="s">
        <v>51</v>
      </c>
      <c r="C57" s="53">
        <f>SUM(C53:C56)</f>
        <v>44089.456869009584</v>
      </c>
      <c r="D57" s="53"/>
      <c r="E57" s="53">
        <f>SUM(E53:E56)</f>
        <v>7207</v>
      </c>
      <c r="F57" s="53">
        <f>SUM(F53:F56)</f>
        <v>36882.456869009584</v>
      </c>
    </row>
    <row r="58" spans="1:6" ht="13.5" customHeight="1" x14ac:dyDescent="0.2">
      <c r="B58" s="4"/>
      <c r="C58" s="31"/>
      <c r="D58" s="31"/>
      <c r="E58" s="32"/>
      <c r="F58" s="31"/>
    </row>
    <row r="59" spans="1:6" ht="22.25" customHeight="1" x14ac:dyDescent="0.2">
      <c r="B59" s="4" t="s">
        <v>52</v>
      </c>
      <c r="C59" s="33">
        <f ca="1">TODAY()</f>
        <v>45713</v>
      </c>
      <c r="D59" s="31"/>
      <c r="E59" s="32"/>
      <c r="F59" s="31"/>
    </row>
    <row r="60" spans="1:6" ht="22.25" customHeight="1" x14ac:dyDescent="0.2"/>
    <row r="61" spans="1:6" ht="102" customHeight="1" x14ac:dyDescent="0.2">
      <c r="A61" s="72" t="s">
        <v>53</v>
      </c>
      <c r="B61" s="72"/>
      <c r="C61" s="72"/>
      <c r="D61" s="72"/>
      <c r="E61" s="72"/>
      <c r="F61" s="72"/>
    </row>
  </sheetData>
  <sheetProtection selectLockedCells="1"/>
  <mergeCells count="1">
    <mergeCell ref="A61:F61"/>
  </mergeCells>
  <dataValidations count="1">
    <dataValidation type="list" allowBlank="1" showInputMessage="1" showErrorMessage="1" sqref="C25 C21" xr:uid="{00000000-0002-0000-0000-000000000000}">
      <formula1>"Academic, Professional"</formula1>
    </dataValidation>
  </dataValidations>
  <pageMargins left="0.25" right="0.25" top="0.75" bottom="0.75" header="0.3" footer="0.3"/>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
  <sheetViews>
    <sheetView workbookViewId="0">
      <selection activeCell="H23" sqref="H23"/>
    </sheetView>
  </sheetViews>
  <sheetFormatPr baseColWidth="10" defaultColWidth="8.83203125" defaultRowHeight="15" x14ac:dyDescent="0.2"/>
  <sheetData>
    <row r="1" spans="1:5" x14ac:dyDescent="0.2">
      <c r="A1" s="55" t="s">
        <v>54</v>
      </c>
      <c r="B1" s="55"/>
      <c r="C1" s="55">
        <f>SUM(C2:C6)</f>
        <v>0.39</v>
      </c>
    </row>
    <row r="2" spans="1:5" x14ac:dyDescent="0.2">
      <c r="A2" s="56">
        <v>0</v>
      </c>
      <c r="B2" s="57"/>
      <c r="C2" s="56">
        <f>IF(DATA!C26&lt;18200,0,0)</f>
        <v>0</v>
      </c>
    </row>
    <row r="3" spans="1:5" x14ac:dyDescent="0.2">
      <c r="A3" s="56">
        <v>21</v>
      </c>
      <c r="B3" s="57"/>
      <c r="C3" s="56">
        <f>IF(AND(DATA!C26&gt;18201,(AND(DATA!C26&lt;37000))),0.21,0)</f>
        <v>0</v>
      </c>
    </row>
    <row r="4" spans="1:5" x14ac:dyDescent="0.2">
      <c r="A4" s="56">
        <v>34.5</v>
      </c>
      <c r="B4" s="57"/>
      <c r="C4" s="56">
        <f>IF(AND(DATA!C26&gt;37001,(AND(DATA!C26&lt;87000))),0.345,0)</f>
        <v>0</v>
      </c>
    </row>
    <row r="5" spans="1:5" x14ac:dyDescent="0.2">
      <c r="A5" s="56">
        <v>39</v>
      </c>
      <c r="B5" s="57"/>
      <c r="C5" s="56">
        <f>IF(AND(DATA!C26&gt;87001,(AND(DATA!C26&lt;180000))),0.39,0)</f>
        <v>0.39</v>
      </c>
    </row>
    <row r="6" spans="1:5" x14ac:dyDescent="0.2">
      <c r="A6" s="56">
        <v>47</v>
      </c>
      <c r="B6" s="57"/>
      <c r="C6" s="56">
        <f>IF(DATA!C26&gt;180001,0.47,0)</f>
        <v>0</v>
      </c>
    </row>
    <row r="7" spans="1:5" x14ac:dyDescent="0.2">
      <c r="A7" s="55"/>
      <c r="B7" s="55"/>
      <c r="C7" s="55"/>
    </row>
    <row r="8" spans="1:5" x14ac:dyDescent="0.2">
      <c r="A8" s="55"/>
      <c r="B8" s="55"/>
      <c r="C8" s="55"/>
    </row>
    <row r="9" spans="1:5" x14ac:dyDescent="0.2">
      <c r="A9" s="55"/>
      <c r="B9" s="55"/>
      <c r="C9" s="55"/>
    </row>
    <row r="10" spans="1:5" ht="16" x14ac:dyDescent="0.2">
      <c r="A10" s="58"/>
      <c r="B10" s="58"/>
      <c r="C10" s="58"/>
      <c r="D10" s="22"/>
      <c r="E10" s="22"/>
    </row>
    <row r="11" spans="1:5" ht="16" x14ac:dyDescent="0.2">
      <c r="A11" s="58"/>
      <c r="B11" s="58"/>
      <c r="C11" s="58"/>
      <c r="D11" s="22"/>
      <c r="E11" s="22"/>
    </row>
    <row r="12" spans="1:5" ht="16" x14ac:dyDescent="0.2">
      <c r="A12" s="58"/>
      <c r="B12" s="58"/>
      <c r="C12" s="58"/>
      <c r="D12" s="22"/>
      <c r="E12" s="22"/>
    </row>
    <row r="13" spans="1:5" ht="16" x14ac:dyDescent="0.2">
      <c r="A13" s="22"/>
      <c r="B13" s="22"/>
      <c r="C13" s="22"/>
      <c r="D13" s="22"/>
      <c r="E13" s="22"/>
    </row>
    <row r="14" spans="1:5" ht="16" x14ac:dyDescent="0.2">
      <c r="A14" s="22"/>
      <c r="B14" s="22"/>
      <c r="C14" s="22"/>
      <c r="D14" s="22"/>
      <c r="E14" s="22"/>
    </row>
    <row r="15" spans="1:5" ht="16" x14ac:dyDescent="0.2">
      <c r="A15" s="22"/>
      <c r="B15" s="22"/>
      <c r="C15" s="22"/>
      <c r="D15" s="22"/>
      <c r="E15" s="22"/>
    </row>
    <row r="16" spans="1:5" ht="16" x14ac:dyDescent="0.2">
      <c r="A16" s="22"/>
      <c r="B16" s="22"/>
      <c r="C16" s="22"/>
      <c r="D16" s="22"/>
      <c r="E16" s="22"/>
    </row>
    <row r="17" spans="1:5" ht="16" x14ac:dyDescent="0.2">
      <c r="A17" s="22"/>
      <c r="B17" s="22"/>
      <c r="C17" s="22"/>
      <c r="D17" s="22"/>
      <c r="E17" s="22"/>
    </row>
    <row r="18" spans="1:5" ht="16" x14ac:dyDescent="0.2">
      <c r="A18" s="22"/>
      <c r="B18" s="22"/>
      <c r="C18" s="22"/>
      <c r="D18" s="22"/>
      <c r="E18" s="22"/>
    </row>
  </sheetData>
  <sheetProtection algorithmName="SHA-512" hashValue="QHT4Ll76I18yhUVcSI2u0a6YTV4wcImuYTINs1HJ/QCXGUMZV3cKS72oUT6JF4bDvpQBjs8l+vrjZS2hyzzXRA==" saltValue="XzyM+8vrGfQZKQAR1W05q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E30"/>
  <sheetViews>
    <sheetView workbookViewId="0">
      <selection activeCell="G28" sqref="G28"/>
    </sheetView>
  </sheetViews>
  <sheetFormatPr baseColWidth="10" defaultColWidth="8.83203125" defaultRowHeight="15" x14ac:dyDescent="0.2"/>
  <cols>
    <col min="1" max="1" width="11" bestFit="1" customWidth="1"/>
    <col min="2" max="2" width="54" bestFit="1" customWidth="1"/>
  </cols>
  <sheetData>
    <row r="1" spans="1:5" x14ac:dyDescent="0.2">
      <c r="A1" s="55" t="s">
        <v>55</v>
      </c>
      <c r="B1" s="55"/>
      <c r="C1" s="55"/>
      <c r="D1" s="55"/>
      <c r="E1" s="55"/>
    </row>
    <row r="2" spans="1:5" x14ac:dyDescent="0.2">
      <c r="A2" s="55"/>
      <c r="B2" s="59" t="s">
        <v>157</v>
      </c>
      <c r="C2" s="55"/>
      <c r="D2" s="55"/>
      <c r="E2" s="55"/>
    </row>
    <row r="3" spans="1:5" x14ac:dyDescent="0.2">
      <c r="A3" s="55"/>
      <c r="B3" s="59" t="s">
        <v>158</v>
      </c>
      <c r="C3" s="55"/>
      <c r="D3" s="55"/>
      <c r="E3" s="55"/>
    </row>
    <row r="4" spans="1:5" x14ac:dyDescent="0.2">
      <c r="A4" s="55"/>
      <c r="B4" s="59" t="s">
        <v>159</v>
      </c>
      <c r="C4" s="55"/>
      <c r="D4" s="55"/>
      <c r="E4" s="55"/>
    </row>
    <row r="5" spans="1:5" x14ac:dyDescent="0.2">
      <c r="A5" s="55"/>
      <c r="B5" s="59" t="s">
        <v>160</v>
      </c>
      <c r="C5" s="55"/>
      <c r="D5" s="55"/>
      <c r="E5" s="55"/>
    </row>
    <row r="6" spans="1:5" x14ac:dyDescent="0.2">
      <c r="A6" s="55"/>
      <c r="B6" s="59" t="s">
        <v>161</v>
      </c>
      <c r="C6" s="55"/>
      <c r="D6" s="55"/>
      <c r="E6" s="55"/>
    </row>
    <row r="7" spans="1:5" x14ac:dyDescent="0.2">
      <c r="A7" s="55"/>
      <c r="B7" s="60" t="s">
        <v>56</v>
      </c>
      <c r="C7" s="55"/>
      <c r="D7" s="55" t="s">
        <v>57</v>
      </c>
      <c r="E7" s="55">
        <f>78+12+7</f>
        <v>97</v>
      </c>
    </row>
    <row r="8" spans="1:5" x14ac:dyDescent="0.2">
      <c r="A8" s="55"/>
      <c r="B8" s="55"/>
      <c r="C8" s="55"/>
      <c r="D8" s="55"/>
      <c r="E8" s="55"/>
    </row>
    <row r="9" spans="1:5" x14ac:dyDescent="0.2">
      <c r="A9" s="55"/>
      <c r="B9" s="55"/>
      <c r="C9" s="55"/>
      <c r="D9" s="55"/>
      <c r="E9" s="55"/>
    </row>
    <row r="10" spans="1:5" x14ac:dyDescent="0.2">
      <c r="A10" s="55" t="s">
        <v>12</v>
      </c>
      <c r="B10" s="55"/>
      <c r="C10" s="55"/>
      <c r="D10" s="55"/>
      <c r="E10" s="55"/>
    </row>
    <row r="11" spans="1:5" x14ac:dyDescent="0.2">
      <c r="A11" s="55"/>
      <c r="B11" s="59" t="s">
        <v>157</v>
      </c>
      <c r="C11" s="55"/>
      <c r="D11" s="55"/>
      <c r="E11" s="55"/>
    </row>
    <row r="12" spans="1:5" x14ac:dyDescent="0.2">
      <c r="A12" s="55"/>
      <c r="B12" s="59" t="s">
        <v>159</v>
      </c>
      <c r="C12" s="55"/>
      <c r="D12" s="55"/>
      <c r="E12" s="55"/>
    </row>
    <row r="13" spans="1:5" x14ac:dyDescent="0.2">
      <c r="A13" s="55"/>
      <c r="B13" s="59" t="s">
        <v>160</v>
      </c>
      <c r="C13" s="55"/>
      <c r="D13" s="55"/>
      <c r="E13" s="55"/>
    </row>
    <row r="14" spans="1:5" x14ac:dyDescent="0.2">
      <c r="A14" s="55"/>
      <c r="B14" s="59" t="s">
        <v>161</v>
      </c>
      <c r="C14" s="55"/>
      <c r="D14" s="55"/>
      <c r="E14" s="55"/>
    </row>
    <row r="15" spans="1:5" x14ac:dyDescent="0.2">
      <c r="A15" s="55"/>
      <c r="B15" s="60" t="s">
        <v>58</v>
      </c>
      <c r="C15" s="55"/>
      <c r="D15" s="55"/>
      <c r="E15" s="55"/>
    </row>
    <row r="16" spans="1:5" x14ac:dyDescent="0.2">
      <c r="A16" s="55"/>
      <c r="B16" s="55"/>
      <c r="C16" s="55"/>
      <c r="D16" s="55" t="s">
        <v>57</v>
      </c>
      <c r="E16" s="55">
        <f>64+12+7</f>
        <v>83</v>
      </c>
    </row>
    <row r="17" spans="1:5" x14ac:dyDescent="0.2">
      <c r="A17" s="55"/>
      <c r="B17" s="55"/>
      <c r="C17" s="55"/>
      <c r="D17" s="55"/>
      <c r="E17" s="55"/>
    </row>
    <row r="18" spans="1:5" x14ac:dyDescent="0.2">
      <c r="A18" s="55"/>
      <c r="B18" s="55" t="s">
        <v>59</v>
      </c>
      <c r="C18" s="55"/>
      <c r="D18" s="55"/>
      <c r="E18" s="55">
        <f>IF(AND(DATA!C32&gt;=2,DATA!C14&gt;=45),7,6)</f>
        <v>6</v>
      </c>
    </row>
    <row r="19" spans="1:5" x14ac:dyDescent="0.2">
      <c r="A19" s="55"/>
      <c r="B19" s="55" t="s">
        <v>60</v>
      </c>
      <c r="C19" s="55"/>
      <c r="D19" s="55"/>
      <c r="E19" s="55">
        <v>12</v>
      </c>
    </row>
    <row r="20" spans="1:5" x14ac:dyDescent="0.2">
      <c r="A20" s="55"/>
      <c r="B20" s="55" t="s">
        <v>61</v>
      </c>
      <c r="C20" s="55"/>
      <c r="D20" s="55"/>
      <c r="E20" s="55">
        <f>SUM(E18:E19)</f>
        <v>18</v>
      </c>
    </row>
    <row r="21" spans="1:5" x14ac:dyDescent="0.2">
      <c r="A21" s="55"/>
      <c r="B21" s="55"/>
      <c r="C21" s="55"/>
      <c r="D21" s="55"/>
      <c r="E21" s="55"/>
    </row>
    <row r="22" spans="1:5" x14ac:dyDescent="0.2">
      <c r="A22" s="55"/>
      <c r="B22" s="55" t="s">
        <v>62</v>
      </c>
      <c r="C22" s="55"/>
      <c r="D22" s="55"/>
      <c r="E22" s="55">
        <f>IF(DATA!C19="",0,(IF(DATA!C17&gt;DATA!C19,(NETWORKDAYS(DATA!C19,DATA!C17-1)/5),0)))</f>
        <v>0</v>
      </c>
    </row>
    <row r="23" spans="1:5" x14ac:dyDescent="0.2">
      <c r="A23" s="55"/>
      <c r="B23" s="55"/>
      <c r="C23" s="55"/>
      <c r="D23" s="55"/>
      <c r="E23" s="55"/>
    </row>
    <row r="24" spans="1:5" x14ac:dyDescent="0.2">
      <c r="A24" s="55"/>
      <c r="B24" s="55"/>
      <c r="C24" s="55"/>
      <c r="D24" s="55"/>
      <c r="E24" s="55"/>
    </row>
    <row r="25" spans="1:5" x14ac:dyDescent="0.2">
      <c r="A25" s="55"/>
      <c r="B25" s="55" t="s">
        <v>63</v>
      </c>
      <c r="C25" s="55"/>
      <c r="D25" s="55"/>
      <c r="E25" s="55">
        <f>IF(DATA!C19="",RULES!E19,IF(SUM(RULES!E19-RULES!E22)&lt;0,0,RULES!E19-RULES!E22))</f>
        <v>12</v>
      </c>
    </row>
    <row r="26" spans="1:5" x14ac:dyDescent="0.2">
      <c r="A26" s="55"/>
      <c r="B26" s="55" t="s">
        <v>64</v>
      </c>
      <c r="C26" s="55"/>
      <c r="D26" s="55"/>
      <c r="E26" s="55">
        <f>IF(E25&gt;0,E18,SUM(E20-E22-E25))</f>
        <v>6</v>
      </c>
    </row>
    <row r="27" spans="1:5" x14ac:dyDescent="0.2">
      <c r="A27" s="55"/>
      <c r="B27" s="55"/>
      <c r="C27" s="55"/>
      <c r="D27" s="55"/>
      <c r="E27" s="55"/>
    </row>
    <row r="28" spans="1:5" x14ac:dyDescent="0.2">
      <c r="A28" s="55"/>
      <c r="B28" s="55"/>
      <c r="C28" s="55"/>
      <c r="D28" s="55"/>
      <c r="E28" s="55"/>
    </row>
    <row r="29" spans="1:5" x14ac:dyDescent="0.2">
      <c r="A29" s="55"/>
      <c r="B29" s="55"/>
      <c r="C29" s="55"/>
      <c r="D29" s="55"/>
      <c r="E29" s="55"/>
    </row>
    <row r="30" spans="1:5" x14ac:dyDescent="0.2">
      <c r="A30" s="55"/>
      <c r="B30" s="55"/>
      <c r="C30" s="55"/>
      <c r="D30" s="55"/>
      <c r="E30" s="55"/>
    </row>
  </sheetData>
  <sheetProtection algorithmName="SHA-512" hashValue="fpNrElrTlc+ErizRvu1YrRlqf24RsJuYnKVnsk7d9Sp/5hYt1aNoQKk56V/kD4cYEycQVvs4Vr3ESQJ4MQdcqQ==" saltValue="h3yHPsGP9G1sRhuKvZ0Ym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T51"/>
  <sheetViews>
    <sheetView topLeftCell="A279" workbookViewId="0">
      <selection activeCell="M10" sqref="M10"/>
    </sheetView>
  </sheetViews>
  <sheetFormatPr baseColWidth="10" defaultColWidth="8.83203125" defaultRowHeight="15" x14ac:dyDescent="0.2"/>
  <cols>
    <col min="1" max="1" width="34.5" style="1" customWidth="1"/>
    <col min="2" max="3" width="16.5" customWidth="1"/>
    <col min="4" max="4" width="15.83203125" bestFit="1" customWidth="1"/>
    <col min="5" max="5" width="13.1640625" bestFit="1" customWidth="1"/>
    <col min="6" max="6" width="2.83203125" customWidth="1"/>
    <col min="7" max="8" width="16.5" customWidth="1"/>
    <col min="9" max="14" width="19.6640625" customWidth="1"/>
    <col min="15" max="16" width="22.5" bestFit="1" customWidth="1"/>
    <col min="17" max="20" width="19.6640625" customWidth="1"/>
  </cols>
  <sheetData>
    <row r="1" spans="1:20" x14ac:dyDescent="0.2">
      <c r="A1" s="55">
        <v>1</v>
      </c>
      <c r="B1" s="55">
        <v>2</v>
      </c>
      <c r="C1" s="55">
        <v>3</v>
      </c>
      <c r="D1" s="55">
        <v>4</v>
      </c>
      <c r="E1" s="55">
        <v>5</v>
      </c>
      <c r="F1" s="55">
        <v>6</v>
      </c>
      <c r="G1" s="55">
        <v>7</v>
      </c>
      <c r="H1" s="55">
        <v>8</v>
      </c>
      <c r="I1" s="55">
        <v>9</v>
      </c>
      <c r="J1" s="55">
        <v>10</v>
      </c>
      <c r="K1" s="55">
        <v>11</v>
      </c>
      <c r="L1" s="55"/>
      <c r="M1" s="55"/>
      <c r="N1" s="55"/>
      <c r="O1" s="55"/>
      <c r="P1" s="55"/>
      <c r="Q1" s="55">
        <v>12</v>
      </c>
      <c r="R1" s="55">
        <v>13</v>
      </c>
      <c r="S1" s="55">
        <v>14</v>
      </c>
      <c r="T1" s="55">
        <v>15</v>
      </c>
    </row>
    <row r="2" spans="1:20" x14ac:dyDescent="0.2">
      <c r="A2" s="62"/>
      <c r="B2" s="55"/>
      <c r="C2" s="55"/>
      <c r="D2" s="55"/>
      <c r="E2" s="55"/>
      <c r="F2" s="55"/>
      <c r="G2" s="55"/>
      <c r="H2" s="55"/>
      <c r="I2" s="55"/>
      <c r="J2" s="55"/>
      <c r="K2" s="55"/>
      <c r="L2" s="55"/>
      <c r="M2" s="55"/>
      <c r="N2" s="55"/>
      <c r="O2" s="55"/>
      <c r="P2" s="55"/>
      <c r="Q2" s="55"/>
      <c r="R2" s="55"/>
      <c r="S2" s="55"/>
      <c r="T2" s="55"/>
    </row>
    <row r="3" spans="1:20" x14ac:dyDescent="0.2">
      <c r="A3" s="62"/>
      <c r="B3" s="63"/>
      <c r="C3" s="63"/>
      <c r="D3" s="63" t="s">
        <v>65</v>
      </c>
      <c r="E3" s="63" t="s">
        <v>66</v>
      </c>
      <c r="F3" s="63"/>
      <c r="G3" s="63" t="str">
        <f>'[1]Salary on-cost table'!D4</f>
        <v>July-19 to July-21</v>
      </c>
      <c r="H3" s="63">
        <v>1.35E-2</v>
      </c>
      <c r="I3" s="63">
        <v>9.5000000000000001E-2</v>
      </c>
      <c r="J3" s="63">
        <v>0.17</v>
      </c>
      <c r="K3" s="63">
        <v>6.8500000000000005E-2</v>
      </c>
      <c r="L3" s="63">
        <v>6.8500000000000005E-2</v>
      </c>
      <c r="M3" s="63">
        <f>I3*K3</f>
        <v>6.5075000000000003E-3</v>
      </c>
      <c r="N3" s="63">
        <f>J3*L3</f>
        <v>1.1645000000000003E-2</v>
      </c>
      <c r="O3" s="63" t="s">
        <v>67</v>
      </c>
      <c r="P3" s="63" t="s">
        <v>67</v>
      </c>
      <c r="Q3" s="63">
        <v>3.5000000000000003E-2</v>
      </c>
      <c r="R3" s="63">
        <v>0.02</v>
      </c>
      <c r="S3" s="63"/>
      <c r="T3" s="63"/>
    </row>
    <row r="4" spans="1:20" ht="15" customHeight="1" x14ac:dyDescent="0.2">
      <c r="A4" s="75" t="s">
        <v>68</v>
      </c>
      <c r="B4" s="64">
        <v>43027</v>
      </c>
      <c r="C4" s="64">
        <v>43293</v>
      </c>
      <c r="D4" s="64">
        <v>43657</v>
      </c>
      <c r="E4" s="64">
        <v>44021</v>
      </c>
      <c r="F4" s="64"/>
      <c r="G4" s="64"/>
      <c r="H4" s="64"/>
      <c r="I4" s="73" t="s">
        <v>69</v>
      </c>
      <c r="J4" s="74"/>
      <c r="K4" s="73" t="s">
        <v>70</v>
      </c>
      <c r="L4" s="74"/>
      <c r="M4" s="73" t="s">
        <v>71</v>
      </c>
      <c r="N4" s="74"/>
      <c r="O4" s="73" t="s">
        <v>72</v>
      </c>
      <c r="P4" s="74"/>
      <c r="Q4" s="65"/>
      <c r="R4" s="65"/>
      <c r="S4" s="73" t="s">
        <v>73</v>
      </c>
      <c r="T4" s="74"/>
    </row>
    <row r="5" spans="1:20" ht="45" x14ac:dyDescent="0.2">
      <c r="A5" s="75"/>
      <c r="B5" s="66" t="s">
        <v>162</v>
      </c>
      <c r="C5" s="65" t="s">
        <v>163</v>
      </c>
      <c r="D5" s="66" t="s">
        <v>162</v>
      </c>
      <c r="E5" s="65" t="s">
        <v>163</v>
      </c>
      <c r="F5" s="65"/>
      <c r="G5" s="65" t="s">
        <v>74</v>
      </c>
      <c r="H5" s="65" t="s">
        <v>75</v>
      </c>
      <c r="I5" s="67" t="s">
        <v>76</v>
      </c>
      <c r="J5" s="67" t="s">
        <v>77</v>
      </c>
      <c r="K5" s="67" t="s">
        <v>76</v>
      </c>
      <c r="L5" s="67" t="s">
        <v>77</v>
      </c>
      <c r="M5" s="67" t="s">
        <v>76</v>
      </c>
      <c r="N5" s="67" t="s">
        <v>77</v>
      </c>
      <c r="O5" s="67" t="s">
        <v>76</v>
      </c>
      <c r="P5" s="67" t="s">
        <v>77</v>
      </c>
      <c r="Q5" s="65" t="s">
        <v>78</v>
      </c>
      <c r="R5" s="65" t="s">
        <v>79</v>
      </c>
      <c r="S5" s="67" t="s">
        <v>76</v>
      </c>
      <c r="T5" s="67" t="s">
        <v>77</v>
      </c>
    </row>
    <row r="6" spans="1:20" x14ac:dyDescent="0.2">
      <c r="A6" s="68" t="s">
        <v>80</v>
      </c>
      <c r="B6" s="69">
        <v>51426</v>
      </c>
      <c r="C6" s="61">
        <v>52455</v>
      </c>
      <c r="D6" s="61">
        <v>54255</v>
      </c>
      <c r="E6" s="61">
        <v>55340</v>
      </c>
      <c r="F6" s="61"/>
      <c r="G6" s="61">
        <f t="shared" ref="G6:G47" si="0">INDEX(D:E,,MATCH($G$3,$D$3:$E$3,0))</f>
        <v>54255</v>
      </c>
      <c r="H6" s="61">
        <f t="shared" ref="H6:H47" si="1">IF(G6*$H$3&gt;1475.5,1475.5,G6*$H$3)</f>
        <v>732.4425</v>
      </c>
      <c r="I6" s="61">
        <f>$I$3*G6</f>
        <v>5154.2250000000004</v>
      </c>
      <c r="J6" s="61">
        <f>$J$3*G6</f>
        <v>9223.35</v>
      </c>
      <c r="K6" s="61">
        <f>(G6)*$K$3</f>
        <v>3716.4675000000002</v>
      </c>
      <c r="L6" s="61">
        <f>(G6)*$L$3</f>
        <v>3716.4675000000002</v>
      </c>
      <c r="M6" s="61">
        <f>$M$3*G6</f>
        <v>353.0644125</v>
      </c>
      <c r="N6" s="61">
        <f>$N$3*G6</f>
        <v>631.79947500000014</v>
      </c>
      <c r="O6" s="61">
        <f>(($H6/$G6)*K$3)*G6</f>
        <v>50.17231125</v>
      </c>
      <c r="P6" s="61">
        <f>(($H6/$G6)*L$3)*G6</f>
        <v>50.17231125</v>
      </c>
      <c r="Q6" s="61">
        <f>Q$3*$G6</f>
        <v>1898.9250000000002</v>
      </c>
      <c r="R6" s="61">
        <f>R$3*$G6</f>
        <v>1085.0999999999999</v>
      </c>
      <c r="S6" s="61">
        <f>G6+H6+I6+K6+M6+O6+Q6+R6</f>
        <v>67245.396723750004</v>
      </c>
      <c r="T6" s="61">
        <f>G6+H6+J6+L6+N6+P6+Q6+R6</f>
        <v>71593.256786250015</v>
      </c>
    </row>
    <row r="7" spans="1:20" x14ac:dyDescent="0.2">
      <c r="A7" s="68" t="s">
        <v>81</v>
      </c>
      <c r="B7" s="69">
        <v>52637</v>
      </c>
      <c r="C7" s="61">
        <v>53690</v>
      </c>
      <c r="D7" s="61">
        <v>55490</v>
      </c>
      <c r="E7" s="61">
        <v>56600</v>
      </c>
      <c r="F7" s="61"/>
      <c r="G7" s="61">
        <f t="shared" si="0"/>
        <v>55490</v>
      </c>
      <c r="H7" s="61">
        <f t="shared" si="1"/>
        <v>749.11500000000001</v>
      </c>
      <c r="I7" s="61">
        <f t="shared" ref="I7:I47" si="2">$I$3*G7</f>
        <v>5271.55</v>
      </c>
      <c r="J7" s="61">
        <f t="shared" ref="J7:J47" si="3">$J$3*G7</f>
        <v>9433.3000000000011</v>
      </c>
      <c r="K7" s="61">
        <f t="shared" ref="K7:K47" si="4">(G7)*$K$3</f>
        <v>3801.0650000000005</v>
      </c>
      <c r="L7" s="61">
        <f t="shared" ref="L7:L47" si="5">(G7)*$L$3</f>
        <v>3801.0650000000005</v>
      </c>
      <c r="M7" s="61">
        <f t="shared" ref="M7:M47" si="6">$M$3*G7</f>
        <v>361.10117500000001</v>
      </c>
      <c r="N7" s="61">
        <f t="shared" ref="N7:N46" si="7">$N$3*G7</f>
        <v>646.18105000000014</v>
      </c>
      <c r="O7" s="61">
        <f t="shared" ref="O7:O47" si="8">(($H7/$G7)*K$3)*G7</f>
        <v>51.314377499999999</v>
      </c>
      <c r="P7" s="61">
        <f t="shared" ref="P7:P47" si="9">(($H7/$G7)*L$3)*G7</f>
        <v>51.314377499999999</v>
      </c>
      <c r="Q7" s="61">
        <f t="shared" ref="Q7:R47" si="10">Q$3*$G7</f>
        <v>1942.15</v>
      </c>
      <c r="R7" s="61">
        <f t="shared" si="10"/>
        <v>1109.8</v>
      </c>
      <c r="S7" s="61">
        <f t="shared" ref="S7:S47" si="11">G7+H7+I7+K7+M7+O7+Q7+R7</f>
        <v>68776.095552500003</v>
      </c>
      <c r="T7" s="61">
        <f t="shared" ref="T7:T46" si="12">G7+H7+J7+L7+N7+P7+Q7+R7</f>
        <v>73222.925427499998</v>
      </c>
    </row>
    <row r="8" spans="1:20" x14ac:dyDescent="0.2">
      <c r="A8" s="68" t="s">
        <v>82</v>
      </c>
      <c r="B8" s="69">
        <v>53746</v>
      </c>
      <c r="C8" s="61">
        <v>54821</v>
      </c>
      <c r="D8" s="61">
        <v>56621</v>
      </c>
      <c r="E8" s="61">
        <v>57753</v>
      </c>
      <c r="F8" s="61"/>
      <c r="G8" s="61">
        <f t="shared" si="0"/>
        <v>56621</v>
      </c>
      <c r="H8" s="61">
        <f t="shared" si="1"/>
        <v>764.38350000000003</v>
      </c>
      <c r="I8" s="61">
        <f t="shared" si="2"/>
        <v>5378.9949999999999</v>
      </c>
      <c r="J8" s="61">
        <f t="shared" si="3"/>
        <v>9625.5700000000015</v>
      </c>
      <c r="K8" s="61">
        <f t="shared" si="4"/>
        <v>3878.5385000000001</v>
      </c>
      <c r="L8" s="61">
        <f t="shared" si="5"/>
        <v>3878.5385000000001</v>
      </c>
      <c r="M8" s="61">
        <f t="shared" si="6"/>
        <v>368.46115750000001</v>
      </c>
      <c r="N8" s="61">
        <f t="shared" si="7"/>
        <v>659.3515450000001</v>
      </c>
      <c r="O8" s="61">
        <f t="shared" si="8"/>
        <v>52.36026975</v>
      </c>
      <c r="P8" s="61">
        <f t="shared" si="9"/>
        <v>52.36026975</v>
      </c>
      <c r="Q8" s="61">
        <f t="shared" si="10"/>
        <v>1981.7350000000001</v>
      </c>
      <c r="R8" s="61">
        <f t="shared" si="10"/>
        <v>1132.42</v>
      </c>
      <c r="S8" s="61">
        <f t="shared" si="11"/>
        <v>70177.893427250005</v>
      </c>
      <c r="T8" s="61">
        <f t="shared" si="12"/>
        <v>74715.358814749998</v>
      </c>
    </row>
    <row r="9" spans="1:20" x14ac:dyDescent="0.2">
      <c r="A9" s="68" t="s">
        <v>83</v>
      </c>
      <c r="B9" s="69">
        <v>55775</v>
      </c>
      <c r="C9" s="61">
        <v>56891</v>
      </c>
      <c r="D9" s="61">
        <v>58691</v>
      </c>
      <c r="E9" s="61">
        <v>59864</v>
      </c>
      <c r="F9" s="61"/>
      <c r="G9" s="61">
        <f t="shared" si="0"/>
        <v>58691</v>
      </c>
      <c r="H9" s="61">
        <f t="shared" si="1"/>
        <v>792.32849999999996</v>
      </c>
      <c r="I9" s="61">
        <f t="shared" si="2"/>
        <v>5575.6450000000004</v>
      </c>
      <c r="J9" s="61">
        <f t="shared" si="3"/>
        <v>9977.4700000000012</v>
      </c>
      <c r="K9" s="61">
        <f t="shared" si="4"/>
        <v>4020.3335000000002</v>
      </c>
      <c r="L9" s="61">
        <f t="shared" si="5"/>
        <v>4020.3335000000002</v>
      </c>
      <c r="M9" s="61">
        <f t="shared" si="6"/>
        <v>381.93168250000002</v>
      </c>
      <c r="N9" s="61">
        <f t="shared" si="7"/>
        <v>683.4566950000002</v>
      </c>
      <c r="O9" s="61">
        <f t="shared" si="8"/>
        <v>54.274502249999998</v>
      </c>
      <c r="P9" s="61">
        <f t="shared" si="9"/>
        <v>54.274502249999998</v>
      </c>
      <c r="Q9" s="61">
        <f t="shared" si="10"/>
        <v>2054.1850000000004</v>
      </c>
      <c r="R9" s="61">
        <f t="shared" si="10"/>
        <v>1173.82</v>
      </c>
      <c r="S9" s="61">
        <f t="shared" si="11"/>
        <v>72743.518184750006</v>
      </c>
      <c r="T9" s="61">
        <f t="shared" si="12"/>
        <v>77446.868197250005</v>
      </c>
    </row>
    <row r="10" spans="1:20" x14ac:dyDescent="0.2">
      <c r="A10" s="68" t="s">
        <v>84</v>
      </c>
      <c r="B10" s="69">
        <v>57711</v>
      </c>
      <c r="C10" s="61">
        <v>58865</v>
      </c>
      <c r="D10" s="61">
        <v>60665</v>
      </c>
      <c r="E10" s="61">
        <v>61879</v>
      </c>
      <c r="F10" s="61"/>
      <c r="G10" s="61">
        <f t="shared" si="0"/>
        <v>60665</v>
      </c>
      <c r="H10" s="61">
        <f t="shared" si="1"/>
        <v>818.97749999999996</v>
      </c>
      <c r="I10" s="61">
        <f t="shared" si="2"/>
        <v>5763.1750000000002</v>
      </c>
      <c r="J10" s="61">
        <f t="shared" si="3"/>
        <v>10313.050000000001</v>
      </c>
      <c r="K10" s="61">
        <f t="shared" si="4"/>
        <v>4155.5525000000007</v>
      </c>
      <c r="L10" s="61">
        <f t="shared" si="5"/>
        <v>4155.5525000000007</v>
      </c>
      <c r="M10" s="61">
        <f t="shared" si="6"/>
        <v>394.77748750000001</v>
      </c>
      <c r="N10" s="61">
        <f t="shared" si="7"/>
        <v>706.44392500000015</v>
      </c>
      <c r="O10" s="61">
        <f t="shared" si="8"/>
        <v>56.099958749999999</v>
      </c>
      <c r="P10" s="61">
        <f t="shared" si="9"/>
        <v>56.099958749999999</v>
      </c>
      <c r="Q10" s="61">
        <f t="shared" si="10"/>
        <v>2123.2750000000001</v>
      </c>
      <c r="R10" s="61">
        <f t="shared" si="10"/>
        <v>1213.3</v>
      </c>
      <c r="S10" s="61">
        <f t="shared" si="11"/>
        <v>75190.157446249999</v>
      </c>
      <c r="T10" s="61">
        <f t="shared" si="12"/>
        <v>80051.698883749996</v>
      </c>
    </row>
    <row r="11" spans="1:20" x14ac:dyDescent="0.2">
      <c r="A11" s="68" t="s">
        <v>85</v>
      </c>
      <c r="B11" s="69">
        <v>59642</v>
      </c>
      <c r="C11" s="61">
        <v>60835</v>
      </c>
      <c r="D11" s="61">
        <v>62635</v>
      </c>
      <c r="E11" s="61">
        <v>63888</v>
      </c>
      <c r="F11" s="61"/>
      <c r="G11" s="61">
        <f t="shared" si="0"/>
        <v>62635</v>
      </c>
      <c r="H11" s="61">
        <f t="shared" si="1"/>
        <v>845.57249999999999</v>
      </c>
      <c r="I11" s="61">
        <f t="shared" si="2"/>
        <v>5950.3249999999998</v>
      </c>
      <c r="J11" s="61">
        <f t="shared" si="3"/>
        <v>10647.95</v>
      </c>
      <c r="K11" s="61">
        <f t="shared" si="4"/>
        <v>4290.4975000000004</v>
      </c>
      <c r="L11" s="61">
        <f t="shared" si="5"/>
        <v>4290.4975000000004</v>
      </c>
      <c r="M11" s="61">
        <f t="shared" si="6"/>
        <v>407.5972625</v>
      </c>
      <c r="N11" s="61">
        <f t="shared" si="7"/>
        <v>729.38457500000015</v>
      </c>
      <c r="O11" s="61">
        <f t="shared" si="8"/>
        <v>57.921716250000003</v>
      </c>
      <c r="P11" s="61">
        <f t="shared" si="9"/>
        <v>57.921716250000003</v>
      </c>
      <c r="Q11" s="61">
        <f t="shared" si="10"/>
        <v>2192.2250000000004</v>
      </c>
      <c r="R11" s="61">
        <f t="shared" si="10"/>
        <v>1252.7</v>
      </c>
      <c r="S11" s="61">
        <f t="shared" si="11"/>
        <v>77631.838978750005</v>
      </c>
      <c r="T11" s="61">
        <f t="shared" si="12"/>
        <v>82651.25129125001</v>
      </c>
    </row>
    <row r="12" spans="1:20" x14ac:dyDescent="0.2">
      <c r="A12" s="68" t="s">
        <v>86</v>
      </c>
      <c r="B12" s="69">
        <v>61697</v>
      </c>
      <c r="C12" s="61">
        <v>62931</v>
      </c>
      <c r="D12" s="61">
        <v>64731</v>
      </c>
      <c r="E12" s="61">
        <v>66026</v>
      </c>
      <c r="F12" s="61"/>
      <c r="G12" s="61">
        <f t="shared" si="0"/>
        <v>64731</v>
      </c>
      <c r="H12" s="61">
        <f t="shared" si="1"/>
        <v>873.86850000000004</v>
      </c>
      <c r="I12" s="61">
        <f t="shared" si="2"/>
        <v>6149.4449999999997</v>
      </c>
      <c r="J12" s="61">
        <f t="shared" si="3"/>
        <v>11004.27</v>
      </c>
      <c r="K12" s="61">
        <f t="shared" si="4"/>
        <v>4434.0735000000004</v>
      </c>
      <c r="L12" s="61">
        <f t="shared" si="5"/>
        <v>4434.0735000000004</v>
      </c>
      <c r="M12" s="61">
        <f t="shared" si="6"/>
        <v>421.23698250000001</v>
      </c>
      <c r="N12" s="61">
        <f t="shared" si="7"/>
        <v>753.79249500000014</v>
      </c>
      <c r="O12" s="61">
        <f t="shared" si="8"/>
        <v>59.859992249999998</v>
      </c>
      <c r="P12" s="61">
        <f t="shared" si="9"/>
        <v>59.859992249999998</v>
      </c>
      <c r="Q12" s="61">
        <f t="shared" si="10"/>
        <v>2265.585</v>
      </c>
      <c r="R12" s="61">
        <f t="shared" si="10"/>
        <v>1294.6200000000001</v>
      </c>
      <c r="S12" s="61">
        <f t="shared" si="11"/>
        <v>80229.688974749995</v>
      </c>
      <c r="T12" s="61">
        <f t="shared" si="12"/>
        <v>85417.069487250003</v>
      </c>
    </row>
    <row r="13" spans="1:20" x14ac:dyDescent="0.2">
      <c r="A13" s="68" t="s">
        <v>87</v>
      </c>
      <c r="B13" s="69">
        <v>62060</v>
      </c>
      <c r="C13" s="61">
        <v>63301</v>
      </c>
      <c r="D13" s="61">
        <v>65101</v>
      </c>
      <c r="E13" s="61">
        <v>66403</v>
      </c>
      <c r="F13" s="61"/>
      <c r="G13" s="61">
        <f t="shared" si="0"/>
        <v>65101</v>
      </c>
      <c r="H13" s="61">
        <f t="shared" si="1"/>
        <v>878.86350000000004</v>
      </c>
      <c r="I13" s="61">
        <f t="shared" si="2"/>
        <v>6184.5950000000003</v>
      </c>
      <c r="J13" s="61">
        <f t="shared" si="3"/>
        <v>11067.17</v>
      </c>
      <c r="K13" s="61">
        <f t="shared" si="4"/>
        <v>4459.4185000000007</v>
      </c>
      <c r="L13" s="61">
        <f t="shared" si="5"/>
        <v>4459.4185000000007</v>
      </c>
      <c r="M13" s="61">
        <f t="shared" si="6"/>
        <v>423.64475750000003</v>
      </c>
      <c r="N13" s="61">
        <f t="shared" si="7"/>
        <v>758.1011450000002</v>
      </c>
      <c r="O13" s="61">
        <f t="shared" si="8"/>
        <v>60.202149750000004</v>
      </c>
      <c r="P13" s="61">
        <f t="shared" si="9"/>
        <v>60.202149750000004</v>
      </c>
      <c r="Q13" s="61">
        <f t="shared" si="10"/>
        <v>2278.5350000000003</v>
      </c>
      <c r="R13" s="61">
        <f t="shared" si="10"/>
        <v>1302.02</v>
      </c>
      <c r="S13" s="61">
        <f t="shared" si="11"/>
        <v>80688.278907250016</v>
      </c>
      <c r="T13" s="61">
        <f t="shared" si="12"/>
        <v>85905.310294750001</v>
      </c>
    </row>
    <row r="14" spans="1:20" x14ac:dyDescent="0.2">
      <c r="A14" s="68" t="s">
        <v>88</v>
      </c>
      <c r="B14" s="69">
        <v>64116</v>
      </c>
      <c r="C14" s="61">
        <v>65398</v>
      </c>
      <c r="D14" s="61">
        <v>67198</v>
      </c>
      <c r="E14" s="61">
        <v>68542</v>
      </c>
      <c r="F14" s="61"/>
      <c r="G14" s="61">
        <f t="shared" si="0"/>
        <v>67198</v>
      </c>
      <c r="H14" s="61">
        <f t="shared" si="1"/>
        <v>907.173</v>
      </c>
      <c r="I14" s="61">
        <f t="shared" si="2"/>
        <v>6383.81</v>
      </c>
      <c r="J14" s="61">
        <f t="shared" si="3"/>
        <v>11423.660000000002</v>
      </c>
      <c r="K14" s="61">
        <f t="shared" si="4"/>
        <v>4603.0630000000001</v>
      </c>
      <c r="L14" s="61">
        <f t="shared" si="5"/>
        <v>4603.0630000000001</v>
      </c>
      <c r="M14" s="61">
        <f t="shared" si="6"/>
        <v>437.29098500000003</v>
      </c>
      <c r="N14" s="61">
        <f t="shared" si="7"/>
        <v>782.52071000000012</v>
      </c>
      <c r="O14" s="61">
        <f t="shared" si="8"/>
        <v>62.141350500000001</v>
      </c>
      <c r="P14" s="61">
        <f t="shared" si="9"/>
        <v>62.141350500000001</v>
      </c>
      <c r="Q14" s="61">
        <f t="shared" si="10"/>
        <v>2351.9300000000003</v>
      </c>
      <c r="R14" s="61">
        <f t="shared" si="10"/>
        <v>1343.96</v>
      </c>
      <c r="S14" s="61">
        <f t="shared" si="11"/>
        <v>83287.368335499996</v>
      </c>
      <c r="T14" s="61">
        <f t="shared" si="12"/>
        <v>88672.448060499984</v>
      </c>
    </row>
    <row r="15" spans="1:20" x14ac:dyDescent="0.2">
      <c r="A15" s="68" t="s">
        <v>89</v>
      </c>
      <c r="B15" s="69">
        <v>66193</v>
      </c>
      <c r="C15" s="61">
        <v>67517</v>
      </c>
      <c r="D15" s="61">
        <v>69317</v>
      </c>
      <c r="E15" s="61">
        <v>70703</v>
      </c>
      <c r="F15" s="61"/>
      <c r="G15" s="61">
        <f t="shared" si="0"/>
        <v>69317</v>
      </c>
      <c r="H15" s="61">
        <f t="shared" si="1"/>
        <v>935.77949999999998</v>
      </c>
      <c r="I15" s="61">
        <f t="shared" si="2"/>
        <v>6585.1149999999998</v>
      </c>
      <c r="J15" s="61">
        <f t="shared" si="3"/>
        <v>11783.890000000001</v>
      </c>
      <c r="K15" s="61">
        <f t="shared" si="4"/>
        <v>4748.2145</v>
      </c>
      <c r="L15" s="61">
        <f t="shared" si="5"/>
        <v>4748.2145</v>
      </c>
      <c r="M15" s="61">
        <f t="shared" si="6"/>
        <v>451.0803775</v>
      </c>
      <c r="N15" s="61">
        <f t="shared" si="7"/>
        <v>807.19646500000022</v>
      </c>
      <c r="O15" s="61">
        <f t="shared" si="8"/>
        <v>64.100895750000007</v>
      </c>
      <c r="P15" s="61">
        <f t="shared" si="9"/>
        <v>64.100895750000007</v>
      </c>
      <c r="Q15" s="61">
        <f t="shared" si="10"/>
        <v>2426.0950000000003</v>
      </c>
      <c r="R15" s="61">
        <f t="shared" si="10"/>
        <v>1386.34</v>
      </c>
      <c r="S15" s="61">
        <f t="shared" si="11"/>
        <v>85913.725273250006</v>
      </c>
      <c r="T15" s="61">
        <f t="shared" si="12"/>
        <v>91468.616360750006</v>
      </c>
    </row>
    <row r="16" spans="1:20" x14ac:dyDescent="0.2">
      <c r="A16" s="68" t="s">
        <v>90</v>
      </c>
      <c r="B16" s="69">
        <v>67287</v>
      </c>
      <c r="C16" s="61">
        <v>68633</v>
      </c>
      <c r="D16" s="61">
        <v>70433</v>
      </c>
      <c r="E16" s="61">
        <v>71841</v>
      </c>
      <c r="F16" s="61"/>
      <c r="G16" s="61">
        <f t="shared" si="0"/>
        <v>70433</v>
      </c>
      <c r="H16" s="61">
        <f t="shared" si="1"/>
        <v>950.84550000000002</v>
      </c>
      <c r="I16" s="61">
        <f t="shared" si="2"/>
        <v>6691.1350000000002</v>
      </c>
      <c r="J16" s="61">
        <f t="shared" si="3"/>
        <v>11973.61</v>
      </c>
      <c r="K16" s="61">
        <f t="shared" si="4"/>
        <v>4824.6605</v>
      </c>
      <c r="L16" s="61">
        <f t="shared" si="5"/>
        <v>4824.6605</v>
      </c>
      <c r="M16" s="61">
        <f t="shared" si="6"/>
        <v>458.34274750000003</v>
      </c>
      <c r="N16" s="61">
        <f t="shared" si="7"/>
        <v>820.1922850000002</v>
      </c>
      <c r="O16" s="61">
        <f t="shared" si="8"/>
        <v>65.132916750000007</v>
      </c>
      <c r="P16" s="61">
        <f t="shared" si="9"/>
        <v>65.132916750000007</v>
      </c>
      <c r="Q16" s="61">
        <f t="shared" si="10"/>
        <v>2465.1550000000002</v>
      </c>
      <c r="R16" s="61">
        <f t="shared" si="10"/>
        <v>1408.66</v>
      </c>
      <c r="S16" s="61">
        <f t="shared" si="11"/>
        <v>87296.931664249991</v>
      </c>
      <c r="T16" s="61">
        <f t="shared" si="12"/>
        <v>92941.256201749988</v>
      </c>
    </row>
    <row r="17" spans="1:20" x14ac:dyDescent="0.2">
      <c r="A17" s="68" t="s">
        <v>91</v>
      </c>
      <c r="B17" s="69">
        <v>68704</v>
      </c>
      <c r="C17" s="61">
        <v>70078</v>
      </c>
      <c r="D17" s="61">
        <v>71878</v>
      </c>
      <c r="E17" s="61">
        <v>73316</v>
      </c>
      <c r="F17" s="61"/>
      <c r="G17" s="61">
        <f t="shared" si="0"/>
        <v>71878</v>
      </c>
      <c r="H17" s="61">
        <f t="shared" si="1"/>
        <v>970.35299999999995</v>
      </c>
      <c r="I17" s="61">
        <f t="shared" si="2"/>
        <v>6828.41</v>
      </c>
      <c r="J17" s="61">
        <f t="shared" si="3"/>
        <v>12219.26</v>
      </c>
      <c r="K17" s="61">
        <f t="shared" si="4"/>
        <v>4923.643</v>
      </c>
      <c r="L17" s="61">
        <f t="shared" si="5"/>
        <v>4923.643</v>
      </c>
      <c r="M17" s="61">
        <f t="shared" si="6"/>
        <v>467.74608499999999</v>
      </c>
      <c r="N17" s="61">
        <f t="shared" si="7"/>
        <v>837.01931000000013</v>
      </c>
      <c r="O17" s="61">
        <f t="shared" si="8"/>
        <v>66.469180500000007</v>
      </c>
      <c r="P17" s="61">
        <f t="shared" si="9"/>
        <v>66.469180500000007</v>
      </c>
      <c r="Q17" s="61">
        <f t="shared" si="10"/>
        <v>2515.73</v>
      </c>
      <c r="R17" s="61">
        <f t="shared" si="10"/>
        <v>1437.56</v>
      </c>
      <c r="S17" s="61">
        <f t="shared" si="11"/>
        <v>89087.911265500006</v>
      </c>
      <c r="T17" s="61">
        <f t="shared" si="12"/>
        <v>94848.034490499995</v>
      </c>
    </row>
    <row r="18" spans="1:20" x14ac:dyDescent="0.2">
      <c r="A18" s="68" t="s">
        <v>92</v>
      </c>
      <c r="B18" s="69">
        <v>70759</v>
      </c>
      <c r="C18" s="61">
        <v>72174</v>
      </c>
      <c r="D18" s="61">
        <v>73974</v>
      </c>
      <c r="E18" s="61">
        <v>75454</v>
      </c>
      <c r="F18" s="61"/>
      <c r="G18" s="61">
        <f t="shared" si="0"/>
        <v>73974</v>
      </c>
      <c r="H18" s="61">
        <f t="shared" si="1"/>
        <v>998.649</v>
      </c>
      <c r="I18" s="61">
        <f t="shared" si="2"/>
        <v>7027.53</v>
      </c>
      <c r="J18" s="61">
        <f t="shared" si="3"/>
        <v>12575.580000000002</v>
      </c>
      <c r="K18" s="61">
        <f t="shared" si="4"/>
        <v>5067.2190000000001</v>
      </c>
      <c r="L18" s="61">
        <f t="shared" si="5"/>
        <v>5067.2190000000001</v>
      </c>
      <c r="M18" s="61">
        <f t="shared" si="6"/>
        <v>481.385805</v>
      </c>
      <c r="N18" s="61">
        <f t="shared" si="7"/>
        <v>861.42723000000024</v>
      </c>
      <c r="O18" s="61">
        <f t="shared" si="8"/>
        <v>68.407456499999995</v>
      </c>
      <c r="P18" s="61">
        <f t="shared" si="9"/>
        <v>68.407456499999995</v>
      </c>
      <c r="Q18" s="61">
        <f t="shared" si="10"/>
        <v>2589.09</v>
      </c>
      <c r="R18" s="61">
        <f t="shared" si="10"/>
        <v>1479.48</v>
      </c>
      <c r="S18" s="61">
        <f t="shared" si="11"/>
        <v>91685.761261499996</v>
      </c>
      <c r="T18" s="61">
        <f t="shared" si="12"/>
        <v>97613.852686500002</v>
      </c>
    </row>
    <row r="19" spans="1:20" x14ac:dyDescent="0.2">
      <c r="A19" s="68" t="s">
        <v>93</v>
      </c>
      <c r="B19" s="69">
        <v>72938</v>
      </c>
      <c r="C19" s="61">
        <v>74397</v>
      </c>
      <c r="D19" s="61">
        <v>76197</v>
      </c>
      <c r="E19" s="61">
        <v>77721</v>
      </c>
      <c r="F19" s="61"/>
      <c r="G19" s="61">
        <f t="shared" si="0"/>
        <v>76197</v>
      </c>
      <c r="H19" s="61">
        <f t="shared" si="1"/>
        <v>1028.6595</v>
      </c>
      <c r="I19" s="61">
        <f t="shared" si="2"/>
        <v>7238.7150000000001</v>
      </c>
      <c r="J19" s="61">
        <f t="shared" si="3"/>
        <v>12953.490000000002</v>
      </c>
      <c r="K19" s="61">
        <f t="shared" si="4"/>
        <v>5219.4945000000007</v>
      </c>
      <c r="L19" s="61">
        <f t="shared" si="5"/>
        <v>5219.4945000000007</v>
      </c>
      <c r="M19" s="61">
        <f t="shared" si="6"/>
        <v>495.85197750000003</v>
      </c>
      <c r="N19" s="61">
        <f t="shared" si="7"/>
        <v>887.31406500000014</v>
      </c>
      <c r="O19" s="61">
        <f t="shared" si="8"/>
        <v>70.463175750000005</v>
      </c>
      <c r="P19" s="61">
        <f t="shared" si="9"/>
        <v>70.463175750000005</v>
      </c>
      <c r="Q19" s="61">
        <f t="shared" si="10"/>
        <v>2666.8950000000004</v>
      </c>
      <c r="R19" s="61">
        <f t="shared" si="10"/>
        <v>1523.94</v>
      </c>
      <c r="S19" s="61">
        <f t="shared" si="11"/>
        <v>94441.019153250003</v>
      </c>
      <c r="T19" s="61">
        <f t="shared" si="12"/>
        <v>100547.25624075001</v>
      </c>
    </row>
    <row r="20" spans="1:20" x14ac:dyDescent="0.2">
      <c r="A20" s="68" t="s">
        <v>94</v>
      </c>
      <c r="B20" s="69">
        <v>75109</v>
      </c>
      <c r="C20" s="61">
        <v>76611</v>
      </c>
      <c r="D20" s="61">
        <v>78411</v>
      </c>
      <c r="E20" s="61">
        <v>79979</v>
      </c>
      <c r="F20" s="61"/>
      <c r="G20" s="61">
        <f t="shared" si="0"/>
        <v>78411</v>
      </c>
      <c r="H20" s="61">
        <f t="shared" si="1"/>
        <v>1058.5484999999999</v>
      </c>
      <c r="I20" s="61">
        <f t="shared" si="2"/>
        <v>7449.0450000000001</v>
      </c>
      <c r="J20" s="61">
        <f t="shared" si="3"/>
        <v>13329.87</v>
      </c>
      <c r="K20" s="61">
        <f t="shared" si="4"/>
        <v>5371.1535000000003</v>
      </c>
      <c r="L20" s="61">
        <f t="shared" si="5"/>
        <v>5371.1535000000003</v>
      </c>
      <c r="M20" s="61">
        <f t="shared" si="6"/>
        <v>510.25958250000002</v>
      </c>
      <c r="N20" s="61">
        <f t="shared" si="7"/>
        <v>913.09609500000022</v>
      </c>
      <c r="O20" s="61">
        <f t="shared" si="8"/>
        <v>72.510572249999996</v>
      </c>
      <c r="P20" s="61">
        <f t="shared" si="9"/>
        <v>72.510572249999996</v>
      </c>
      <c r="Q20" s="61">
        <f t="shared" si="10"/>
        <v>2744.3850000000002</v>
      </c>
      <c r="R20" s="61">
        <f t="shared" si="10"/>
        <v>1568.22</v>
      </c>
      <c r="S20" s="61">
        <f t="shared" si="11"/>
        <v>97185.122154750003</v>
      </c>
      <c r="T20" s="61">
        <f t="shared" si="12"/>
        <v>103468.78366725</v>
      </c>
    </row>
    <row r="21" spans="1:20" x14ac:dyDescent="0.2">
      <c r="A21" s="68" t="s">
        <v>95</v>
      </c>
      <c r="B21" s="69">
        <v>77408</v>
      </c>
      <c r="C21" s="61">
        <v>78956</v>
      </c>
      <c r="D21" s="61">
        <v>80756</v>
      </c>
      <c r="E21" s="61">
        <v>82371</v>
      </c>
      <c r="F21" s="61"/>
      <c r="G21" s="61">
        <f t="shared" si="0"/>
        <v>80756</v>
      </c>
      <c r="H21" s="61">
        <f t="shared" si="1"/>
        <v>1090.2059999999999</v>
      </c>
      <c r="I21" s="61">
        <f t="shared" si="2"/>
        <v>7671.82</v>
      </c>
      <c r="J21" s="61">
        <f t="shared" si="3"/>
        <v>13728.52</v>
      </c>
      <c r="K21" s="61">
        <f t="shared" si="4"/>
        <v>5531.7860000000001</v>
      </c>
      <c r="L21" s="61">
        <f t="shared" si="5"/>
        <v>5531.7860000000001</v>
      </c>
      <c r="M21" s="61">
        <f t="shared" si="6"/>
        <v>525.51967000000002</v>
      </c>
      <c r="N21" s="61">
        <f t="shared" si="7"/>
        <v>940.40362000000016</v>
      </c>
      <c r="O21" s="61">
        <f t="shared" si="8"/>
        <v>74.679110999999992</v>
      </c>
      <c r="P21" s="61">
        <f t="shared" si="9"/>
        <v>74.679110999999992</v>
      </c>
      <c r="Q21" s="61">
        <f t="shared" si="10"/>
        <v>2826.4600000000005</v>
      </c>
      <c r="R21" s="61">
        <f t="shared" si="10"/>
        <v>1615.1200000000001</v>
      </c>
      <c r="S21" s="61">
        <f t="shared" si="11"/>
        <v>100091.59078100001</v>
      </c>
      <c r="T21" s="61">
        <f t="shared" si="12"/>
        <v>106563.17473100002</v>
      </c>
    </row>
    <row r="22" spans="1:20" x14ac:dyDescent="0.2">
      <c r="A22" s="68" t="s">
        <v>96</v>
      </c>
      <c r="B22" s="69">
        <v>81030</v>
      </c>
      <c r="C22" s="61">
        <v>82651</v>
      </c>
      <c r="D22" s="61">
        <v>84451</v>
      </c>
      <c r="E22" s="61">
        <v>86140</v>
      </c>
      <c r="F22" s="61"/>
      <c r="G22" s="61">
        <f t="shared" si="0"/>
        <v>84451</v>
      </c>
      <c r="H22" s="61">
        <f t="shared" si="1"/>
        <v>1140.0885000000001</v>
      </c>
      <c r="I22" s="61">
        <f t="shared" si="2"/>
        <v>8022.8450000000003</v>
      </c>
      <c r="J22" s="61">
        <f t="shared" si="3"/>
        <v>14356.670000000002</v>
      </c>
      <c r="K22" s="61">
        <f t="shared" si="4"/>
        <v>5784.8935000000001</v>
      </c>
      <c r="L22" s="61">
        <f t="shared" si="5"/>
        <v>5784.8935000000001</v>
      </c>
      <c r="M22" s="61">
        <f t="shared" si="6"/>
        <v>549.56488250000007</v>
      </c>
      <c r="N22" s="61">
        <f t="shared" si="7"/>
        <v>983.43189500000017</v>
      </c>
      <c r="O22" s="61">
        <f t="shared" si="8"/>
        <v>78.096062250000017</v>
      </c>
      <c r="P22" s="61">
        <f t="shared" si="9"/>
        <v>78.096062250000017</v>
      </c>
      <c r="Q22" s="61">
        <f t="shared" si="10"/>
        <v>2955.7850000000003</v>
      </c>
      <c r="R22" s="61">
        <f t="shared" si="10"/>
        <v>1689.02</v>
      </c>
      <c r="S22" s="61">
        <f t="shared" si="11"/>
        <v>104671.29294475001</v>
      </c>
      <c r="T22" s="61">
        <f t="shared" si="12"/>
        <v>111438.98495725001</v>
      </c>
    </row>
    <row r="23" spans="1:20" x14ac:dyDescent="0.2">
      <c r="A23" s="68" t="s">
        <v>97</v>
      </c>
      <c r="B23" s="69">
        <v>85023</v>
      </c>
      <c r="C23" s="61">
        <v>86723</v>
      </c>
      <c r="D23" s="61">
        <v>88523</v>
      </c>
      <c r="E23" s="61">
        <v>90294</v>
      </c>
      <c r="F23" s="61"/>
      <c r="G23" s="61">
        <f t="shared" si="0"/>
        <v>88523</v>
      </c>
      <c r="H23" s="61">
        <f t="shared" si="1"/>
        <v>1195.0605</v>
      </c>
      <c r="I23" s="61">
        <f t="shared" si="2"/>
        <v>8409.6849999999995</v>
      </c>
      <c r="J23" s="61">
        <f t="shared" si="3"/>
        <v>15048.910000000002</v>
      </c>
      <c r="K23" s="61">
        <f t="shared" si="4"/>
        <v>6063.8255000000008</v>
      </c>
      <c r="L23" s="61">
        <f t="shared" si="5"/>
        <v>6063.8255000000008</v>
      </c>
      <c r="M23" s="61">
        <f t="shared" si="6"/>
        <v>576.0634225</v>
      </c>
      <c r="N23" s="61">
        <f>$N$3*G23</f>
        <v>1030.8503350000003</v>
      </c>
      <c r="O23" s="61">
        <f t="shared" si="8"/>
        <v>81.861644249999998</v>
      </c>
      <c r="P23" s="61">
        <f t="shared" si="9"/>
        <v>81.861644249999998</v>
      </c>
      <c r="Q23" s="61">
        <f t="shared" si="10"/>
        <v>3098.3050000000003</v>
      </c>
      <c r="R23" s="61">
        <f t="shared" si="10"/>
        <v>1770.46</v>
      </c>
      <c r="S23" s="61">
        <f t="shared" si="11"/>
        <v>109718.26106675003</v>
      </c>
      <c r="T23" s="61">
        <f t="shared" si="12"/>
        <v>116812.27297925002</v>
      </c>
    </row>
    <row r="24" spans="1:20" x14ac:dyDescent="0.2">
      <c r="A24" s="68" t="s">
        <v>98</v>
      </c>
      <c r="B24" s="69">
        <v>89370</v>
      </c>
      <c r="C24" s="61">
        <v>91157</v>
      </c>
      <c r="D24" s="61">
        <v>92957</v>
      </c>
      <c r="E24" s="61">
        <v>94817</v>
      </c>
      <c r="F24" s="61"/>
      <c r="G24" s="61">
        <f t="shared" si="0"/>
        <v>92957</v>
      </c>
      <c r="H24" s="61">
        <f t="shared" si="1"/>
        <v>1254.9195</v>
      </c>
      <c r="I24" s="61">
        <f t="shared" si="2"/>
        <v>8830.9150000000009</v>
      </c>
      <c r="J24" s="61">
        <f t="shared" si="3"/>
        <v>15802.69</v>
      </c>
      <c r="K24" s="61">
        <f t="shared" si="4"/>
        <v>6367.5545000000002</v>
      </c>
      <c r="L24" s="61">
        <f t="shared" si="5"/>
        <v>6367.5545000000002</v>
      </c>
      <c r="M24" s="61">
        <f t="shared" si="6"/>
        <v>604.91767749999997</v>
      </c>
      <c r="N24" s="61">
        <f t="shared" si="7"/>
        <v>1082.4842650000003</v>
      </c>
      <c r="O24" s="61">
        <f t="shared" si="8"/>
        <v>85.961985749999997</v>
      </c>
      <c r="P24" s="61">
        <f t="shared" si="9"/>
        <v>85.961985749999997</v>
      </c>
      <c r="Q24" s="61">
        <f t="shared" si="10"/>
        <v>3253.4950000000003</v>
      </c>
      <c r="R24" s="61">
        <f t="shared" si="10"/>
        <v>1859.14</v>
      </c>
      <c r="S24" s="61">
        <f t="shared" si="11"/>
        <v>115213.90366324998</v>
      </c>
      <c r="T24" s="61">
        <f t="shared" si="12"/>
        <v>122663.24525075</v>
      </c>
    </row>
    <row r="25" spans="1:20" x14ac:dyDescent="0.2">
      <c r="A25" s="68" t="s">
        <v>99</v>
      </c>
      <c r="B25" s="69">
        <v>95894</v>
      </c>
      <c r="C25" s="61">
        <v>97812</v>
      </c>
      <c r="D25" s="61">
        <v>99612</v>
      </c>
      <c r="E25" s="61">
        <v>101604</v>
      </c>
      <c r="F25" s="61"/>
      <c r="G25" s="61">
        <f t="shared" si="0"/>
        <v>99612</v>
      </c>
      <c r="H25" s="61">
        <f t="shared" si="1"/>
        <v>1344.7619999999999</v>
      </c>
      <c r="I25" s="61">
        <f t="shared" si="2"/>
        <v>9463.14</v>
      </c>
      <c r="J25" s="61">
        <f t="shared" si="3"/>
        <v>16934.04</v>
      </c>
      <c r="K25" s="61">
        <f t="shared" si="4"/>
        <v>6823.4220000000005</v>
      </c>
      <c r="L25" s="61">
        <f t="shared" si="5"/>
        <v>6823.4220000000005</v>
      </c>
      <c r="M25" s="61">
        <f t="shared" si="6"/>
        <v>648.22509000000002</v>
      </c>
      <c r="N25" s="61">
        <f t="shared" si="7"/>
        <v>1159.9817400000002</v>
      </c>
      <c r="O25" s="61">
        <f t="shared" si="8"/>
        <v>92.116197</v>
      </c>
      <c r="P25" s="61">
        <f t="shared" si="9"/>
        <v>92.116197</v>
      </c>
      <c r="Q25" s="61">
        <f t="shared" si="10"/>
        <v>3486.4200000000005</v>
      </c>
      <c r="R25" s="61">
        <f t="shared" si="10"/>
        <v>1992.24</v>
      </c>
      <c r="S25" s="61">
        <f t="shared" si="11"/>
        <v>123462.32528700001</v>
      </c>
      <c r="T25" s="61">
        <f t="shared" si="12"/>
        <v>131444.981937</v>
      </c>
    </row>
    <row r="26" spans="1:20" x14ac:dyDescent="0.2">
      <c r="A26" s="68" t="s">
        <v>100</v>
      </c>
      <c r="B26" s="69">
        <v>102664</v>
      </c>
      <c r="C26" s="61">
        <v>104717</v>
      </c>
      <c r="D26" s="61">
        <v>106517</v>
      </c>
      <c r="E26" s="61">
        <v>108648</v>
      </c>
      <c r="F26" s="61"/>
      <c r="G26" s="61">
        <f t="shared" si="0"/>
        <v>106517</v>
      </c>
      <c r="H26" s="61">
        <f t="shared" si="1"/>
        <v>1437.9794999999999</v>
      </c>
      <c r="I26" s="61">
        <f t="shared" si="2"/>
        <v>10119.115</v>
      </c>
      <c r="J26" s="61">
        <f t="shared" si="3"/>
        <v>18107.890000000003</v>
      </c>
      <c r="K26" s="61">
        <f t="shared" si="4"/>
        <v>7296.4145000000008</v>
      </c>
      <c r="L26" s="61">
        <f t="shared" si="5"/>
        <v>7296.4145000000008</v>
      </c>
      <c r="M26" s="61">
        <f t="shared" si="6"/>
        <v>693.15937750000001</v>
      </c>
      <c r="N26" s="61">
        <f t="shared" si="7"/>
        <v>1240.3904650000002</v>
      </c>
      <c r="O26" s="61">
        <f t="shared" si="8"/>
        <v>98.501595750000007</v>
      </c>
      <c r="P26" s="61">
        <f t="shared" si="9"/>
        <v>98.501595750000007</v>
      </c>
      <c r="Q26" s="61">
        <f t="shared" si="10"/>
        <v>3728.0950000000003</v>
      </c>
      <c r="R26" s="61">
        <f t="shared" si="10"/>
        <v>2130.34</v>
      </c>
      <c r="S26" s="61">
        <f t="shared" si="11"/>
        <v>132020.60497325001</v>
      </c>
      <c r="T26" s="61">
        <f t="shared" si="12"/>
        <v>140556.61106075003</v>
      </c>
    </row>
    <row r="27" spans="1:20" x14ac:dyDescent="0.2">
      <c r="A27" s="68" t="s">
        <v>101</v>
      </c>
      <c r="B27" s="69">
        <v>109432</v>
      </c>
      <c r="C27" s="61">
        <v>111621</v>
      </c>
      <c r="D27" s="61">
        <v>113421</v>
      </c>
      <c r="E27" s="61">
        <v>115689</v>
      </c>
      <c r="F27" s="61"/>
      <c r="G27" s="61">
        <f t="shared" si="0"/>
        <v>113421</v>
      </c>
      <c r="H27" s="61">
        <f t="shared" si="1"/>
        <v>1475.5</v>
      </c>
      <c r="I27" s="61">
        <f t="shared" si="2"/>
        <v>10774.995000000001</v>
      </c>
      <c r="J27" s="61">
        <f t="shared" si="3"/>
        <v>19281.57</v>
      </c>
      <c r="K27" s="61">
        <f t="shared" si="4"/>
        <v>7769.3385000000007</v>
      </c>
      <c r="L27" s="61">
        <f t="shared" si="5"/>
        <v>7769.3385000000007</v>
      </c>
      <c r="M27" s="61">
        <f t="shared" si="6"/>
        <v>738.08715749999999</v>
      </c>
      <c r="N27" s="61">
        <f t="shared" si="7"/>
        <v>1320.7875450000004</v>
      </c>
      <c r="O27" s="61">
        <f t="shared" si="8"/>
        <v>101.07175000000001</v>
      </c>
      <c r="P27" s="61">
        <f t="shared" si="9"/>
        <v>101.07175000000001</v>
      </c>
      <c r="Q27" s="61">
        <f t="shared" si="10"/>
        <v>3969.7350000000006</v>
      </c>
      <c r="R27" s="61">
        <f t="shared" si="10"/>
        <v>2268.42</v>
      </c>
      <c r="S27" s="61">
        <f t="shared" si="11"/>
        <v>140518.14740750004</v>
      </c>
      <c r="T27" s="61">
        <f t="shared" si="12"/>
        <v>149607.42279500005</v>
      </c>
    </row>
    <row r="28" spans="1:20" x14ac:dyDescent="0.2">
      <c r="A28" s="68" t="s">
        <v>102</v>
      </c>
      <c r="B28" s="69">
        <v>114744</v>
      </c>
      <c r="C28" s="61">
        <v>117039</v>
      </c>
      <c r="D28" s="61">
        <v>118839</v>
      </c>
      <c r="E28" s="61">
        <v>121216</v>
      </c>
      <c r="F28" s="61"/>
      <c r="G28" s="61">
        <f t="shared" si="0"/>
        <v>118839</v>
      </c>
      <c r="H28" s="61">
        <f t="shared" si="1"/>
        <v>1475.5</v>
      </c>
      <c r="I28" s="61">
        <f t="shared" si="2"/>
        <v>11289.705</v>
      </c>
      <c r="J28" s="61">
        <f t="shared" si="3"/>
        <v>20202.63</v>
      </c>
      <c r="K28" s="61">
        <f t="shared" si="4"/>
        <v>8140.4715000000006</v>
      </c>
      <c r="L28" s="61">
        <f t="shared" si="5"/>
        <v>8140.4715000000006</v>
      </c>
      <c r="M28" s="61">
        <f t="shared" si="6"/>
        <v>773.34479250000004</v>
      </c>
      <c r="N28" s="61">
        <f t="shared" si="7"/>
        <v>1383.8801550000003</v>
      </c>
      <c r="O28" s="61">
        <f t="shared" si="8"/>
        <v>101.07175000000001</v>
      </c>
      <c r="P28" s="61">
        <f t="shared" si="9"/>
        <v>101.07175000000001</v>
      </c>
      <c r="Q28" s="61">
        <f t="shared" si="10"/>
        <v>4159.3650000000007</v>
      </c>
      <c r="R28" s="61">
        <f t="shared" si="10"/>
        <v>2376.7800000000002</v>
      </c>
      <c r="S28" s="61">
        <f t="shared" si="11"/>
        <v>147155.23804249999</v>
      </c>
      <c r="T28" s="61">
        <f t="shared" si="12"/>
        <v>156678.698405</v>
      </c>
    </row>
    <row r="29" spans="1:20" x14ac:dyDescent="0.2">
      <c r="A29" s="68" t="s">
        <v>103</v>
      </c>
      <c r="B29" s="69">
        <v>123178</v>
      </c>
      <c r="C29" s="61">
        <v>125642</v>
      </c>
      <c r="D29" s="61">
        <v>127442</v>
      </c>
      <c r="E29" s="61">
        <v>129990</v>
      </c>
      <c r="F29" s="61"/>
      <c r="G29" s="61">
        <f t="shared" si="0"/>
        <v>127442</v>
      </c>
      <c r="H29" s="61">
        <f t="shared" si="1"/>
        <v>1475.5</v>
      </c>
      <c r="I29" s="61">
        <f t="shared" si="2"/>
        <v>12106.99</v>
      </c>
      <c r="J29" s="61">
        <f t="shared" si="3"/>
        <v>21665.140000000003</v>
      </c>
      <c r="K29" s="61">
        <f t="shared" si="4"/>
        <v>8729.777</v>
      </c>
      <c r="L29" s="61">
        <f t="shared" si="5"/>
        <v>8729.777</v>
      </c>
      <c r="M29" s="61">
        <f t="shared" si="6"/>
        <v>829.32881500000008</v>
      </c>
      <c r="N29" s="61">
        <f t="shared" si="7"/>
        <v>1484.0620900000004</v>
      </c>
      <c r="O29" s="61">
        <f t="shared" si="8"/>
        <v>101.07175000000001</v>
      </c>
      <c r="P29" s="61">
        <f t="shared" si="9"/>
        <v>101.07175000000001</v>
      </c>
      <c r="Q29" s="61">
        <f t="shared" si="10"/>
        <v>4460.47</v>
      </c>
      <c r="R29" s="61">
        <f t="shared" si="10"/>
        <v>2548.84</v>
      </c>
      <c r="S29" s="61">
        <f t="shared" si="11"/>
        <v>157693.97756499998</v>
      </c>
      <c r="T29" s="61">
        <f t="shared" si="12"/>
        <v>167906.86084000001</v>
      </c>
    </row>
    <row r="30" spans="1:20" x14ac:dyDescent="0.2">
      <c r="A30" s="68" t="s">
        <v>104</v>
      </c>
      <c r="B30" s="69">
        <v>134520</v>
      </c>
      <c r="C30" s="61">
        <v>137210</v>
      </c>
      <c r="D30" s="61">
        <v>139010</v>
      </c>
      <c r="E30" s="61">
        <v>141791</v>
      </c>
      <c r="F30" s="61"/>
      <c r="G30" s="61">
        <f t="shared" si="0"/>
        <v>139010</v>
      </c>
      <c r="H30" s="61">
        <f t="shared" si="1"/>
        <v>1475.5</v>
      </c>
      <c r="I30" s="61">
        <f t="shared" si="2"/>
        <v>13205.95</v>
      </c>
      <c r="J30" s="61">
        <f t="shared" si="3"/>
        <v>23631.7</v>
      </c>
      <c r="K30" s="61">
        <f t="shared" si="4"/>
        <v>9522.1850000000013</v>
      </c>
      <c r="L30" s="61">
        <f t="shared" si="5"/>
        <v>9522.1850000000013</v>
      </c>
      <c r="M30" s="61">
        <f t="shared" si="6"/>
        <v>904.607575</v>
      </c>
      <c r="N30" s="61">
        <f t="shared" si="7"/>
        <v>1618.7714500000004</v>
      </c>
      <c r="O30" s="61">
        <f t="shared" si="8"/>
        <v>101.07175000000002</v>
      </c>
      <c r="P30" s="61">
        <f t="shared" si="9"/>
        <v>101.07175000000002</v>
      </c>
      <c r="Q30" s="61">
        <f t="shared" si="10"/>
        <v>4865.3500000000004</v>
      </c>
      <c r="R30" s="61">
        <f t="shared" si="10"/>
        <v>2780.2000000000003</v>
      </c>
      <c r="S30" s="61">
        <f t="shared" si="11"/>
        <v>171864.86432500003</v>
      </c>
      <c r="T30" s="61">
        <f t="shared" si="12"/>
        <v>183004.77820000003</v>
      </c>
    </row>
    <row r="31" spans="1:20" x14ac:dyDescent="0.2">
      <c r="A31" s="68" t="s">
        <v>105</v>
      </c>
      <c r="B31" s="69">
        <v>147537</v>
      </c>
      <c r="C31" s="61">
        <v>150488</v>
      </c>
      <c r="D31" s="61">
        <v>152288</v>
      </c>
      <c r="E31" s="61">
        <v>155333</v>
      </c>
      <c r="F31" s="61"/>
      <c r="G31" s="61">
        <f t="shared" si="0"/>
        <v>152288</v>
      </c>
      <c r="H31" s="61">
        <f t="shared" si="1"/>
        <v>1475.5</v>
      </c>
      <c r="I31" s="61">
        <f t="shared" si="2"/>
        <v>14467.36</v>
      </c>
      <c r="J31" s="61">
        <f t="shared" si="3"/>
        <v>25888.960000000003</v>
      </c>
      <c r="K31" s="61">
        <f t="shared" si="4"/>
        <v>10431.728000000001</v>
      </c>
      <c r="L31" s="61">
        <f t="shared" si="5"/>
        <v>10431.728000000001</v>
      </c>
      <c r="M31" s="61">
        <f t="shared" si="6"/>
        <v>991.01416000000006</v>
      </c>
      <c r="N31" s="61">
        <f t="shared" si="7"/>
        <v>1773.3937600000004</v>
      </c>
      <c r="O31" s="61">
        <f t="shared" si="8"/>
        <v>101.07175000000001</v>
      </c>
      <c r="P31" s="61">
        <f t="shared" si="9"/>
        <v>101.07175000000001</v>
      </c>
      <c r="Q31" s="61">
        <f t="shared" si="10"/>
        <v>5330.0800000000008</v>
      </c>
      <c r="R31" s="61">
        <f t="shared" si="10"/>
        <v>3045.76</v>
      </c>
      <c r="S31" s="61">
        <f t="shared" si="11"/>
        <v>188130.51390999998</v>
      </c>
      <c r="T31" s="61">
        <f t="shared" si="12"/>
        <v>200334.49351</v>
      </c>
    </row>
    <row r="32" spans="1:20" x14ac:dyDescent="0.2">
      <c r="A32" s="68" t="s">
        <v>106</v>
      </c>
      <c r="B32" s="69">
        <v>161484</v>
      </c>
      <c r="C32" s="61">
        <v>164714</v>
      </c>
      <c r="D32" s="61">
        <v>166514</v>
      </c>
      <c r="E32" s="61">
        <v>169844</v>
      </c>
      <c r="F32" s="61"/>
      <c r="G32" s="61">
        <f t="shared" si="0"/>
        <v>166514</v>
      </c>
      <c r="H32" s="61">
        <f t="shared" si="1"/>
        <v>1475.5</v>
      </c>
      <c r="I32" s="61">
        <f t="shared" si="2"/>
        <v>15818.83</v>
      </c>
      <c r="J32" s="61">
        <f t="shared" si="3"/>
        <v>28307.38</v>
      </c>
      <c r="K32" s="61">
        <f t="shared" si="4"/>
        <v>11406.209000000001</v>
      </c>
      <c r="L32" s="61">
        <f t="shared" si="5"/>
        <v>11406.209000000001</v>
      </c>
      <c r="M32" s="61">
        <f t="shared" si="6"/>
        <v>1083.5898549999999</v>
      </c>
      <c r="N32" s="61">
        <f t="shared" si="7"/>
        <v>1939.0555300000003</v>
      </c>
      <c r="O32" s="61">
        <f t="shared" si="8"/>
        <v>101.07175000000001</v>
      </c>
      <c r="P32" s="61">
        <f t="shared" si="9"/>
        <v>101.07175000000001</v>
      </c>
      <c r="Q32" s="61">
        <f t="shared" si="10"/>
        <v>5827.9900000000007</v>
      </c>
      <c r="R32" s="61">
        <f t="shared" si="10"/>
        <v>3330.28</v>
      </c>
      <c r="S32" s="61">
        <f t="shared" si="11"/>
        <v>205557.47060499998</v>
      </c>
      <c r="T32" s="61">
        <f t="shared" si="12"/>
        <v>218901.48628000001</v>
      </c>
    </row>
    <row r="33" spans="1:20" x14ac:dyDescent="0.2">
      <c r="A33" s="68" t="s">
        <v>107</v>
      </c>
      <c r="B33" s="69">
        <v>70107</v>
      </c>
      <c r="C33" s="61">
        <v>71509</v>
      </c>
      <c r="D33" s="61">
        <v>73309</v>
      </c>
      <c r="E33" s="61">
        <v>74775</v>
      </c>
      <c r="F33" s="61"/>
      <c r="G33" s="61">
        <f t="shared" si="0"/>
        <v>73309</v>
      </c>
      <c r="H33" s="61">
        <f t="shared" si="1"/>
        <v>989.67150000000004</v>
      </c>
      <c r="I33" s="61">
        <f t="shared" si="2"/>
        <v>6964.3550000000005</v>
      </c>
      <c r="J33" s="61">
        <f t="shared" si="3"/>
        <v>12462.53</v>
      </c>
      <c r="K33" s="61">
        <f t="shared" si="4"/>
        <v>5021.6665000000003</v>
      </c>
      <c r="L33" s="61">
        <f t="shared" si="5"/>
        <v>5021.6665000000003</v>
      </c>
      <c r="M33" s="61">
        <f t="shared" si="6"/>
        <v>477.05831750000004</v>
      </c>
      <c r="N33" s="61">
        <f t="shared" si="7"/>
        <v>853.68330500000013</v>
      </c>
      <c r="O33" s="61">
        <f t="shared" si="8"/>
        <v>67.792497749999995</v>
      </c>
      <c r="P33" s="61">
        <f t="shared" si="9"/>
        <v>67.792497749999995</v>
      </c>
      <c r="Q33" s="61">
        <f t="shared" si="10"/>
        <v>2565.8150000000001</v>
      </c>
      <c r="R33" s="61">
        <f t="shared" si="10"/>
        <v>1466.18</v>
      </c>
      <c r="S33" s="61">
        <f t="shared" si="11"/>
        <v>90861.538815249995</v>
      </c>
      <c r="T33" s="61">
        <f t="shared" si="12"/>
        <v>96736.33880274999</v>
      </c>
    </row>
    <row r="34" spans="1:20" x14ac:dyDescent="0.2">
      <c r="A34" s="68" t="s">
        <v>108</v>
      </c>
      <c r="B34" s="69">
        <v>77097</v>
      </c>
      <c r="C34" s="61">
        <v>78639</v>
      </c>
      <c r="D34" s="61">
        <v>80439</v>
      </c>
      <c r="E34" s="61">
        <v>82048</v>
      </c>
      <c r="F34" s="61"/>
      <c r="G34" s="61">
        <f t="shared" si="0"/>
        <v>80439</v>
      </c>
      <c r="H34" s="61">
        <f t="shared" si="1"/>
        <v>1085.9265</v>
      </c>
      <c r="I34" s="61">
        <f t="shared" si="2"/>
        <v>7641.7049999999999</v>
      </c>
      <c r="J34" s="61">
        <f t="shared" si="3"/>
        <v>13674.630000000001</v>
      </c>
      <c r="K34" s="61">
        <f t="shared" si="4"/>
        <v>5510.0715</v>
      </c>
      <c r="L34" s="61">
        <f t="shared" si="5"/>
        <v>5510.0715</v>
      </c>
      <c r="M34" s="61">
        <f t="shared" si="6"/>
        <v>523.45679250000001</v>
      </c>
      <c r="N34" s="61">
        <f t="shared" si="7"/>
        <v>936.71215500000017</v>
      </c>
      <c r="O34" s="61">
        <f t="shared" si="8"/>
        <v>74.385965249999998</v>
      </c>
      <c r="P34" s="61">
        <f t="shared" si="9"/>
        <v>74.385965249999998</v>
      </c>
      <c r="Q34" s="61">
        <f t="shared" si="10"/>
        <v>2815.3650000000002</v>
      </c>
      <c r="R34" s="61">
        <f t="shared" si="10"/>
        <v>1608.78</v>
      </c>
      <c r="S34" s="61">
        <f t="shared" si="11"/>
        <v>99698.69075775001</v>
      </c>
      <c r="T34" s="61">
        <f t="shared" si="12"/>
        <v>106144.87112025001</v>
      </c>
    </row>
    <row r="35" spans="1:20" x14ac:dyDescent="0.2">
      <c r="A35" s="68" t="s">
        <v>109</v>
      </c>
      <c r="B35" s="69">
        <v>82769</v>
      </c>
      <c r="C35" s="61">
        <v>84424</v>
      </c>
      <c r="D35" s="61">
        <v>86224</v>
      </c>
      <c r="E35" s="61">
        <v>87949</v>
      </c>
      <c r="F35" s="61"/>
      <c r="G35" s="61">
        <f t="shared" si="0"/>
        <v>86224</v>
      </c>
      <c r="H35" s="61">
        <f t="shared" si="1"/>
        <v>1164.0239999999999</v>
      </c>
      <c r="I35" s="61">
        <f t="shared" si="2"/>
        <v>8191.28</v>
      </c>
      <c r="J35" s="61">
        <f t="shared" si="3"/>
        <v>14658.080000000002</v>
      </c>
      <c r="K35" s="61">
        <f t="shared" si="4"/>
        <v>5906.3440000000001</v>
      </c>
      <c r="L35" s="61">
        <f t="shared" si="5"/>
        <v>5906.3440000000001</v>
      </c>
      <c r="M35" s="61">
        <f t="shared" si="6"/>
        <v>561.10268000000008</v>
      </c>
      <c r="N35" s="61">
        <f t="shared" si="7"/>
        <v>1004.0784800000002</v>
      </c>
      <c r="O35" s="61">
        <f t="shared" si="8"/>
        <v>79.735643999999994</v>
      </c>
      <c r="P35" s="61">
        <f t="shared" si="9"/>
        <v>79.735643999999994</v>
      </c>
      <c r="Q35" s="61">
        <f t="shared" si="10"/>
        <v>3017.84</v>
      </c>
      <c r="R35" s="61">
        <f t="shared" si="10"/>
        <v>1724.48</v>
      </c>
      <c r="S35" s="61">
        <f t="shared" si="11"/>
        <v>106868.80632399999</v>
      </c>
      <c r="T35" s="61">
        <f t="shared" si="12"/>
        <v>113778.58212399999</v>
      </c>
    </row>
    <row r="36" spans="1:20" x14ac:dyDescent="0.2">
      <c r="A36" s="68" t="s">
        <v>110</v>
      </c>
      <c r="B36" s="69">
        <v>88446</v>
      </c>
      <c r="C36" s="61">
        <v>90215</v>
      </c>
      <c r="D36" s="61">
        <v>92015</v>
      </c>
      <c r="E36" s="61">
        <v>93855</v>
      </c>
      <c r="F36" s="61"/>
      <c r="G36" s="61">
        <f t="shared" si="0"/>
        <v>92015</v>
      </c>
      <c r="H36" s="61">
        <f t="shared" si="1"/>
        <v>1242.2024999999999</v>
      </c>
      <c r="I36" s="61">
        <f t="shared" si="2"/>
        <v>8741.4249999999993</v>
      </c>
      <c r="J36" s="61">
        <f t="shared" si="3"/>
        <v>15642.550000000001</v>
      </c>
      <c r="K36" s="61">
        <f t="shared" si="4"/>
        <v>6303.0275000000001</v>
      </c>
      <c r="L36" s="61">
        <f t="shared" si="5"/>
        <v>6303.0275000000001</v>
      </c>
      <c r="M36" s="61">
        <f t="shared" si="6"/>
        <v>598.78761250000002</v>
      </c>
      <c r="N36" s="61">
        <f t="shared" si="7"/>
        <v>1071.5146750000001</v>
      </c>
      <c r="O36" s="61">
        <f t="shared" si="8"/>
        <v>85.090871249999992</v>
      </c>
      <c r="P36" s="61">
        <f t="shared" si="9"/>
        <v>85.090871249999992</v>
      </c>
      <c r="Q36" s="61">
        <f t="shared" si="10"/>
        <v>3220.5250000000001</v>
      </c>
      <c r="R36" s="61">
        <f t="shared" si="10"/>
        <v>1840.3</v>
      </c>
      <c r="S36" s="61">
        <f t="shared" si="11"/>
        <v>114046.35848374999</v>
      </c>
      <c r="T36" s="61">
        <f t="shared" si="12"/>
        <v>121420.21054624999</v>
      </c>
    </row>
    <row r="37" spans="1:20" x14ac:dyDescent="0.2">
      <c r="A37" s="68" t="s">
        <v>111</v>
      </c>
      <c r="B37" s="69">
        <v>96087</v>
      </c>
      <c r="C37" s="61">
        <v>98009</v>
      </c>
      <c r="D37" s="61">
        <v>99809</v>
      </c>
      <c r="E37" s="61">
        <v>101805</v>
      </c>
      <c r="F37" s="61"/>
      <c r="G37" s="61">
        <f t="shared" si="0"/>
        <v>99809</v>
      </c>
      <c r="H37" s="61">
        <f t="shared" si="1"/>
        <v>1347.4214999999999</v>
      </c>
      <c r="I37" s="61">
        <f t="shared" si="2"/>
        <v>9481.8549999999996</v>
      </c>
      <c r="J37" s="61">
        <f t="shared" si="3"/>
        <v>16967.530000000002</v>
      </c>
      <c r="K37" s="61">
        <f t="shared" si="4"/>
        <v>6836.9165000000003</v>
      </c>
      <c r="L37" s="61">
        <f t="shared" si="5"/>
        <v>6836.9165000000003</v>
      </c>
      <c r="M37" s="61">
        <f t="shared" si="6"/>
        <v>649.50706750000006</v>
      </c>
      <c r="N37" s="61">
        <f t="shared" si="7"/>
        <v>1162.2758050000002</v>
      </c>
      <c r="O37" s="61">
        <f t="shared" si="8"/>
        <v>92.298372749999999</v>
      </c>
      <c r="P37" s="61">
        <f t="shared" si="9"/>
        <v>92.298372749999999</v>
      </c>
      <c r="Q37" s="61">
        <f t="shared" si="10"/>
        <v>3493.3150000000005</v>
      </c>
      <c r="R37" s="61">
        <f t="shared" si="10"/>
        <v>1996.18</v>
      </c>
      <c r="S37" s="61">
        <f t="shared" si="11"/>
        <v>123706.49344024999</v>
      </c>
      <c r="T37" s="61">
        <f t="shared" si="12"/>
        <v>131704.93717774999</v>
      </c>
    </row>
    <row r="38" spans="1:20" x14ac:dyDescent="0.2">
      <c r="A38" s="68" t="s">
        <v>112</v>
      </c>
      <c r="B38" s="69">
        <v>102635</v>
      </c>
      <c r="C38" s="61">
        <v>104688</v>
      </c>
      <c r="D38" s="61">
        <v>106488</v>
      </c>
      <c r="E38" s="61">
        <v>108617</v>
      </c>
      <c r="F38" s="61"/>
      <c r="G38" s="61">
        <f t="shared" si="0"/>
        <v>106488</v>
      </c>
      <c r="H38" s="61">
        <f t="shared" si="1"/>
        <v>1437.588</v>
      </c>
      <c r="I38" s="61">
        <f t="shared" si="2"/>
        <v>10116.36</v>
      </c>
      <c r="J38" s="61">
        <f t="shared" si="3"/>
        <v>18102.960000000003</v>
      </c>
      <c r="K38" s="61">
        <f t="shared" si="4"/>
        <v>7294.4280000000008</v>
      </c>
      <c r="L38" s="61">
        <f t="shared" si="5"/>
        <v>7294.4280000000008</v>
      </c>
      <c r="M38" s="61">
        <f t="shared" si="6"/>
        <v>692.97066000000007</v>
      </c>
      <c r="N38" s="61">
        <f t="shared" si="7"/>
        <v>1240.0527600000003</v>
      </c>
      <c r="O38" s="61">
        <f t="shared" si="8"/>
        <v>98.474778000000001</v>
      </c>
      <c r="P38" s="61">
        <f t="shared" si="9"/>
        <v>98.474778000000001</v>
      </c>
      <c r="Q38" s="61">
        <f t="shared" si="10"/>
        <v>3727.0800000000004</v>
      </c>
      <c r="R38" s="61">
        <f t="shared" si="10"/>
        <v>2129.7600000000002</v>
      </c>
      <c r="S38" s="61">
        <f t="shared" si="11"/>
        <v>131984.66143800001</v>
      </c>
      <c r="T38" s="61">
        <f t="shared" si="12"/>
        <v>140518.34353800002</v>
      </c>
    </row>
    <row r="39" spans="1:20" x14ac:dyDescent="0.2">
      <c r="A39" s="68" t="s">
        <v>113</v>
      </c>
      <c r="B39" s="69">
        <v>109181</v>
      </c>
      <c r="C39" s="61">
        <v>111365</v>
      </c>
      <c r="D39" s="61">
        <v>113165</v>
      </c>
      <c r="E39" s="61">
        <v>115428</v>
      </c>
      <c r="F39" s="61"/>
      <c r="G39" s="61">
        <f t="shared" si="0"/>
        <v>113165</v>
      </c>
      <c r="H39" s="61">
        <f t="shared" si="1"/>
        <v>1475.5</v>
      </c>
      <c r="I39" s="61">
        <f t="shared" si="2"/>
        <v>10750.674999999999</v>
      </c>
      <c r="J39" s="61">
        <f t="shared" si="3"/>
        <v>19238.050000000003</v>
      </c>
      <c r="K39" s="61">
        <f t="shared" si="4"/>
        <v>7751.8025000000007</v>
      </c>
      <c r="L39" s="61">
        <f t="shared" si="5"/>
        <v>7751.8025000000007</v>
      </c>
      <c r="M39" s="61">
        <f t="shared" si="6"/>
        <v>736.42123750000007</v>
      </c>
      <c r="N39" s="61">
        <f t="shared" si="7"/>
        <v>1317.8064250000002</v>
      </c>
      <c r="O39" s="61">
        <f t="shared" si="8"/>
        <v>101.07175000000001</v>
      </c>
      <c r="P39" s="61">
        <f t="shared" si="9"/>
        <v>101.07175000000001</v>
      </c>
      <c r="Q39" s="61">
        <f t="shared" si="10"/>
        <v>3960.7750000000005</v>
      </c>
      <c r="R39" s="61">
        <f t="shared" si="10"/>
        <v>2263.3000000000002</v>
      </c>
      <c r="S39" s="61">
        <f t="shared" si="11"/>
        <v>140204.5454875</v>
      </c>
      <c r="T39" s="61">
        <f t="shared" si="12"/>
        <v>149273.30567499995</v>
      </c>
    </row>
    <row r="40" spans="1:20" x14ac:dyDescent="0.2">
      <c r="A40" s="68" t="s">
        <v>114</v>
      </c>
      <c r="B40" s="69">
        <v>115729</v>
      </c>
      <c r="C40" s="61">
        <v>118044</v>
      </c>
      <c r="D40" s="61">
        <v>119844</v>
      </c>
      <c r="E40" s="61">
        <v>122240</v>
      </c>
      <c r="F40" s="61"/>
      <c r="G40" s="61">
        <f t="shared" si="0"/>
        <v>119844</v>
      </c>
      <c r="H40" s="61">
        <f t="shared" si="1"/>
        <v>1475.5</v>
      </c>
      <c r="I40" s="61">
        <f t="shared" si="2"/>
        <v>11385.18</v>
      </c>
      <c r="J40" s="61">
        <f t="shared" si="3"/>
        <v>20373.480000000003</v>
      </c>
      <c r="K40" s="61">
        <f t="shared" si="4"/>
        <v>8209.3140000000003</v>
      </c>
      <c r="L40" s="61">
        <f t="shared" si="5"/>
        <v>8209.3140000000003</v>
      </c>
      <c r="M40" s="61">
        <f t="shared" si="6"/>
        <v>779.88483000000008</v>
      </c>
      <c r="N40" s="61">
        <f t="shared" si="7"/>
        <v>1395.5833800000003</v>
      </c>
      <c r="O40" s="61">
        <f t="shared" si="8"/>
        <v>101.07175000000001</v>
      </c>
      <c r="P40" s="61">
        <f t="shared" si="9"/>
        <v>101.07175000000001</v>
      </c>
      <c r="Q40" s="61">
        <f t="shared" si="10"/>
        <v>4194.54</v>
      </c>
      <c r="R40" s="61">
        <f t="shared" si="10"/>
        <v>2396.88</v>
      </c>
      <c r="S40" s="61">
        <f t="shared" si="11"/>
        <v>148386.37058000002</v>
      </c>
      <c r="T40" s="61">
        <f t="shared" si="12"/>
        <v>157990.36913000004</v>
      </c>
    </row>
    <row r="41" spans="1:20" x14ac:dyDescent="0.2">
      <c r="A41" s="68" t="s">
        <v>115</v>
      </c>
      <c r="B41" s="69">
        <v>122279</v>
      </c>
      <c r="C41" s="61">
        <v>124725</v>
      </c>
      <c r="D41" s="61">
        <v>126525</v>
      </c>
      <c r="E41" s="61">
        <v>129055</v>
      </c>
      <c r="F41" s="61"/>
      <c r="G41" s="61">
        <f t="shared" si="0"/>
        <v>126525</v>
      </c>
      <c r="H41" s="61">
        <f t="shared" si="1"/>
        <v>1475.5</v>
      </c>
      <c r="I41" s="61">
        <f t="shared" si="2"/>
        <v>12019.875</v>
      </c>
      <c r="J41" s="61">
        <f t="shared" si="3"/>
        <v>21509.25</v>
      </c>
      <c r="K41" s="61">
        <f t="shared" si="4"/>
        <v>8666.9625000000015</v>
      </c>
      <c r="L41" s="61">
        <f t="shared" si="5"/>
        <v>8666.9625000000015</v>
      </c>
      <c r="M41" s="61">
        <f t="shared" si="6"/>
        <v>823.36143750000008</v>
      </c>
      <c r="N41" s="61">
        <f t="shared" si="7"/>
        <v>1473.3836250000004</v>
      </c>
      <c r="O41" s="61">
        <f t="shared" si="8"/>
        <v>101.07175000000001</v>
      </c>
      <c r="P41" s="61">
        <f t="shared" si="9"/>
        <v>101.07175000000001</v>
      </c>
      <c r="Q41" s="61">
        <f t="shared" si="10"/>
        <v>4428.375</v>
      </c>
      <c r="R41" s="61">
        <f t="shared" si="10"/>
        <v>2530.5</v>
      </c>
      <c r="S41" s="61">
        <f t="shared" si="11"/>
        <v>156570.64568749999</v>
      </c>
      <c r="T41" s="61">
        <f t="shared" si="12"/>
        <v>166710.04287499998</v>
      </c>
    </row>
    <row r="42" spans="1:20" x14ac:dyDescent="0.2">
      <c r="A42" s="68" t="s">
        <v>116</v>
      </c>
      <c r="B42" s="69">
        <v>128825</v>
      </c>
      <c r="C42" s="61">
        <v>131402</v>
      </c>
      <c r="D42" s="61">
        <v>133202</v>
      </c>
      <c r="E42" s="61">
        <v>135866</v>
      </c>
      <c r="F42" s="61"/>
      <c r="G42" s="61">
        <f t="shared" si="0"/>
        <v>133202</v>
      </c>
      <c r="H42" s="61">
        <f t="shared" si="1"/>
        <v>1475.5</v>
      </c>
      <c r="I42" s="61">
        <f t="shared" si="2"/>
        <v>12654.19</v>
      </c>
      <c r="J42" s="61">
        <f t="shared" si="3"/>
        <v>22644.34</v>
      </c>
      <c r="K42" s="61">
        <f t="shared" si="4"/>
        <v>9124.3370000000014</v>
      </c>
      <c r="L42" s="61">
        <f t="shared" si="5"/>
        <v>9124.3370000000014</v>
      </c>
      <c r="M42" s="61">
        <f t="shared" si="6"/>
        <v>866.81201500000009</v>
      </c>
      <c r="N42" s="61">
        <f t="shared" si="7"/>
        <v>1551.1372900000003</v>
      </c>
      <c r="O42" s="61">
        <f t="shared" si="8"/>
        <v>101.07175000000001</v>
      </c>
      <c r="P42" s="61">
        <f t="shared" si="9"/>
        <v>101.07175000000001</v>
      </c>
      <c r="Q42" s="61">
        <f t="shared" si="10"/>
        <v>4662.0700000000006</v>
      </c>
      <c r="R42" s="61">
        <f t="shared" si="10"/>
        <v>2664.04</v>
      </c>
      <c r="S42" s="61">
        <f t="shared" si="11"/>
        <v>164750.02076500002</v>
      </c>
      <c r="T42" s="61">
        <f t="shared" si="12"/>
        <v>175424.49604000003</v>
      </c>
    </row>
    <row r="43" spans="1:20" x14ac:dyDescent="0.2">
      <c r="A43" s="68" t="s">
        <v>117</v>
      </c>
      <c r="B43" s="69">
        <v>138643</v>
      </c>
      <c r="C43" s="61">
        <v>141416</v>
      </c>
      <c r="D43" s="61">
        <v>143216</v>
      </c>
      <c r="E43" s="61">
        <v>146080</v>
      </c>
      <c r="F43" s="61"/>
      <c r="G43" s="61">
        <f t="shared" si="0"/>
        <v>143216</v>
      </c>
      <c r="H43" s="61">
        <f t="shared" si="1"/>
        <v>1475.5</v>
      </c>
      <c r="I43" s="61">
        <f t="shared" si="2"/>
        <v>13605.52</v>
      </c>
      <c r="J43" s="61">
        <f t="shared" si="3"/>
        <v>24346.720000000001</v>
      </c>
      <c r="K43" s="61">
        <f t="shared" si="4"/>
        <v>9810.2960000000003</v>
      </c>
      <c r="L43" s="61">
        <f t="shared" si="5"/>
        <v>9810.2960000000003</v>
      </c>
      <c r="M43" s="61">
        <f t="shared" si="6"/>
        <v>931.97811999999999</v>
      </c>
      <c r="N43" s="61">
        <f t="shared" si="7"/>
        <v>1667.7503200000003</v>
      </c>
      <c r="O43" s="61">
        <f t="shared" si="8"/>
        <v>101.07175000000001</v>
      </c>
      <c r="P43" s="61">
        <f t="shared" si="9"/>
        <v>101.07175000000001</v>
      </c>
      <c r="Q43" s="61">
        <f t="shared" si="10"/>
        <v>5012.5600000000004</v>
      </c>
      <c r="R43" s="61">
        <f t="shared" si="10"/>
        <v>2864.32</v>
      </c>
      <c r="S43" s="61">
        <f t="shared" si="11"/>
        <v>177017.24587000001</v>
      </c>
      <c r="T43" s="61">
        <f t="shared" si="12"/>
        <v>188494.21807</v>
      </c>
    </row>
    <row r="44" spans="1:20" x14ac:dyDescent="0.2">
      <c r="A44" s="68" t="s">
        <v>118</v>
      </c>
      <c r="B44" s="69">
        <v>147376</v>
      </c>
      <c r="C44" s="61">
        <v>150324</v>
      </c>
      <c r="D44" s="61">
        <v>152124</v>
      </c>
      <c r="E44" s="61">
        <v>155166</v>
      </c>
      <c r="F44" s="61"/>
      <c r="G44" s="61">
        <f t="shared" si="0"/>
        <v>152124</v>
      </c>
      <c r="H44" s="61">
        <f t="shared" si="1"/>
        <v>1475.5</v>
      </c>
      <c r="I44" s="61">
        <f t="shared" si="2"/>
        <v>14451.78</v>
      </c>
      <c r="J44" s="61">
        <f t="shared" si="3"/>
        <v>25861.08</v>
      </c>
      <c r="K44" s="61">
        <f t="shared" si="4"/>
        <v>10420.494000000001</v>
      </c>
      <c r="L44" s="61">
        <f t="shared" si="5"/>
        <v>10420.494000000001</v>
      </c>
      <c r="M44" s="61">
        <f t="shared" si="6"/>
        <v>989.94693000000007</v>
      </c>
      <c r="N44" s="61">
        <f t="shared" si="7"/>
        <v>1771.4839800000004</v>
      </c>
      <c r="O44" s="61">
        <f t="shared" si="8"/>
        <v>101.07175000000001</v>
      </c>
      <c r="P44" s="61">
        <f t="shared" si="9"/>
        <v>101.07175000000001</v>
      </c>
      <c r="Q44" s="61">
        <f t="shared" si="10"/>
        <v>5324.34</v>
      </c>
      <c r="R44" s="61">
        <f t="shared" si="10"/>
        <v>3042.48</v>
      </c>
      <c r="S44" s="61">
        <f t="shared" si="11"/>
        <v>187929.61268000002</v>
      </c>
      <c r="T44" s="61">
        <f t="shared" si="12"/>
        <v>200120.44973000002</v>
      </c>
    </row>
    <row r="45" spans="1:20" x14ac:dyDescent="0.2">
      <c r="A45" s="68" t="s">
        <v>119</v>
      </c>
      <c r="B45" s="69">
        <v>151621</v>
      </c>
      <c r="C45" s="61">
        <v>154653</v>
      </c>
      <c r="D45" s="61">
        <v>156453</v>
      </c>
      <c r="E45" s="61">
        <v>159582</v>
      </c>
      <c r="F45" s="61"/>
      <c r="G45" s="61">
        <f t="shared" si="0"/>
        <v>156453</v>
      </c>
      <c r="H45" s="61">
        <f t="shared" si="1"/>
        <v>1475.5</v>
      </c>
      <c r="I45" s="61">
        <f t="shared" si="2"/>
        <v>14863.035</v>
      </c>
      <c r="J45" s="61">
        <f t="shared" si="3"/>
        <v>26597.010000000002</v>
      </c>
      <c r="K45" s="61">
        <f t="shared" si="4"/>
        <v>10717.030500000001</v>
      </c>
      <c r="L45" s="61">
        <f t="shared" si="5"/>
        <v>10717.030500000001</v>
      </c>
      <c r="M45" s="61">
        <f t="shared" si="6"/>
        <v>1018.1178975</v>
      </c>
      <c r="N45" s="61">
        <f t="shared" si="7"/>
        <v>1821.8951850000003</v>
      </c>
      <c r="O45" s="61">
        <f t="shared" si="8"/>
        <v>101.07175000000001</v>
      </c>
      <c r="P45" s="61">
        <f t="shared" si="9"/>
        <v>101.07175000000001</v>
      </c>
      <c r="Q45" s="61">
        <f t="shared" si="10"/>
        <v>5475.8550000000005</v>
      </c>
      <c r="R45" s="61">
        <f t="shared" si="10"/>
        <v>3129.06</v>
      </c>
      <c r="S45" s="61">
        <f t="shared" si="11"/>
        <v>193232.6701475</v>
      </c>
      <c r="T45" s="61">
        <f t="shared" si="12"/>
        <v>205770.42243500001</v>
      </c>
    </row>
    <row r="46" spans="1:20" x14ac:dyDescent="0.2">
      <c r="A46" s="68" t="s">
        <v>120</v>
      </c>
      <c r="B46" s="69">
        <v>171386</v>
      </c>
      <c r="C46" s="61">
        <v>174814</v>
      </c>
      <c r="D46" s="61">
        <v>176614</v>
      </c>
      <c r="E46" s="61">
        <v>180146</v>
      </c>
      <c r="F46" s="61"/>
      <c r="G46" s="61">
        <f t="shared" si="0"/>
        <v>176614</v>
      </c>
      <c r="H46" s="61">
        <f t="shared" si="1"/>
        <v>1475.5</v>
      </c>
      <c r="I46" s="61">
        <f t="shared" si="2"/>
        <v>16778.330000000002</v>
      </c>
      <c r="J46" s="61">
        <f t="shared" si="3"/>
        <v>30024.38</v>
      </c>
      <c r="K46" s="61">
        <f t="shared" si="4"/>
        <v>12098.059000000001</v>
      </c>
      <c r="L46" s="61">
        <f t="shared" si="5"/>
        <v>12098.059000000001</v>
      </c>
      <c r="M46" s="61">
        <f t="shared" si="6"/>
        <v>1149.315605</v>
      </c>
      <c r="N46" s="61">
        <f t="shared" si="7"/>
        <v>2056.6700300000007</v>
      </c>
      <c r="O46" s="61">
        <f t="shared" si="8"/>
        <v>101.07175000000002</v>
      </c>
      <c r="P46" s="61">
        <f t="shared" si="9"/>
        <v>101.07175000000002</v>
      </c>
      <c r="Q46" s="61">
        <f t="shared" si="10"/>
        <v>6181.4900000000007</v>
      </c>
      <c r="R46" s="61">
        <f t="shared" si="10"/>
        <v>3532.28</v>
      </c>
      <c r="S46" s="61">
        <f t="shared" si="11"/>
        <v>217930.04635500003</v>
      </c>
      <c r="T46" s="61">
        <f t="shared" si="12"/>
        <v>232083.45078000001</v>
      </c>
    </row>
    <row r="47" spans="1:20" x14ac:dyDescent="0.2">
      <c r="A47" s="68" t="s">
        <v>121</v>
      </c>
      <c r="B47" s="69">
        <v>181646</v>
      </c>
      <c r="C47" s="61">
        <v>185279</v>
      </c>
      <c r="D47" s="61">
        <v>187079</v>
      </c>
      <c r="E47" s="61">
        <v>190820</v>
      </c>
      <c r="F47" s="61"/>
      <c r="G47" s="61">
        <f t="shared" si="0"/>
        <v>187079</v>
      </c>
      <c r="H47" s="61">
        <f t="shared" si="1"/>
        <v>1475.5</v>
      </c>
      <c r="I47" s="61">
        <f t="shared" si="2"/>
        <v>17772.505000000001</v>
      </c>
      <c r="J47" s="61">
        <f t="shared" si="3"/>
        <v>31803.430000000004</v>
      </c>
      <c r="K47" s="61">
        <f t="shared" si="4"/>
        <v>12814.9115</v>
      </c>
      <c r="L47" s="61">
        <f t="shared" si="5"/>
        <v>12814.9115</v>
      </c>
      <c r="M47" s="61">
        <f t="shared" si="6"/>
        <v>1217.4165925</v>
      </c>
      <c r="N47" s="61">
        <f>$N$3*G47</f>
        <v>2178.5349550000005</v>
      </c>
      <c r="O47" s="61">
        <f t="shared" si="8"/>
        <v>101.07175000000001</v>
      </c>
      <c r="P47" s="61">
        <f t="shared" si="9"/>
        <v>101.07175000000001</v>
      </c>
      <c r="Q47" s="61">
        <f t="shared" si="10"/>
        <v>6547.7650000000003</v>
      </c>
      <c r="R47" s="61">
        <f t="shared" si="10"/>
        <v>3741.58</v>
      </c>
      <c r="S47" s="61">
        <f t="shared" si="11"/>
        <v>230749.74984249999</v>
      </c>
      <c r="T47" s="61">
        <f>G47+H47+J47+L47+N47+P47+Q47+R47</f>
        <v>245741.79320499999</v>
      </c>
    </row>
    <row r="48" spans="1:20" x14ac:dyDescent="0.2">
      <c r="A48" s="62"/>
      <c r="B48" s="55"/>
      <c r="C48" s="55"/>
      <c r="D48" s="55"/>
      <c r="E48" s="55"/>
      <c r="F48" s="55"/>
      <c r="G48" s="55"/>
      <c r="H48" s="55"/>
      <c r="I48" s="55"/>
      <c r="J48" s="55"/>
      <c r="K48" s="55"/>
      <c r="L48" s="55"/>
      <c r="M48" s="55"/>
      <c r="N48" s="55"/>
      <c r="O48" s="55"/>
      <c r="P48" s="55"/>
      <c r="Q48" s="55"/>
      <c r="R48" s="55"/>
      <c r="S48" s="55"/>
      <c r="T48" s="55"/>
    </row>
    <row r="49" spans="1:20" x14ac:dyDescent="0.2">
      <c r="A49" s="62"/>
      <c r="B49" s="55"/>
      <c r="C49" s="55"/>
      <c r="D49" s="55"/>
      <c r="E49" s="55"/>
      <c r="F49" s="55"/>
      <c r="G49" s="55"/>
      <c r="H49" s="55"/>
      <c r="I49" s="55"/>
      <c r="J49" s="55"/>
      <c r="K49" s="55"/>
      <c r="L49" s="55"/>
      <c r="M49" s="55"/>
      <c r="N49" s="55"/>
      <c r="O49" s="55"/>
      <c r="P49" s="55"/>
      <c r="Q49" s="55"/>
      <c r="R49" s="55"/>
      <c r="S49" s="55"/>
      <c r="T49" s="55"/>
    </row>
    <row r="50" spans="1:20" x14ac:dyDescent="0.2">
      <c r="O50" s="55"/>
      <c r="P50" s="55"/>
      <c r="Q50" s="55"/>
      <c r="R50" s="55"/>
      <c r="S50" s="55"/>
      <c r="T50" s="55"/>
    </row>
    <row r="51" spans="1:20" x14ac:dyDescent="0.2">
      <c r="O51" s="55"/>
      <c r="P51" s="55"/>
      <c r="Q51" s="55"/>
      <c r="R51" s="55"/>
      <c r="S51" s="55"/>
      <c r="T51" s="55"/>
    </row>
  </sheetData>
  <sheetProtection algorithmName="SHA-512" hashValue="2Z9U+t55dNSluAIiYyxJpXebHlJH1wB6i9Vmb7fb8ieLo68be8e4+lt1CU+e4ZRVE7HPavD+Agb7JM9xFXlF0A==" saltValue="y9rWWsgsKnmeJxWryNTXuQ==" spinCount="100000" sheet="1" objects="1" scenarios="1"/>
  <mergeCells count="6">
    <mergeCell ref="S4:T4"/>
    <mergeCell ref="A4:A5"/>
    <mergeCell ref="I4:J4"/>
    <mergeCell ref="K4:L4"/>
    <mergeCell ref="M4:N4"/>
    <mergeCell ref="O4:P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24"/>
  <sheetViews>
    <sheetView topLeftCell="A23" workbookViewId="0">
      <selection activeCell="D15" sqref="D15"/>
    </sheetView>
  </sheetViews>
  <sheetFormatPr baseColWidth="10" defaultColWidth="8.83203125" defaultRowHeight="15" x14ac:dyDescent="0.2"/>
  <cols>
    <col min="1" max="1" width="14.33203125" style="2" bestFit="1" customWidth="1"/>
    <col min="2" max="2" width="28.83203125" bestFit="1" customWidth="1"/>
    <col min="3" max="3" width="21.6640625" bestFit="1" customWidth="1"/>
  </cols>
  <sheetData>
    <row r="1" spans="1:3" x14ac:dyDescent="0.2">
      <c r="A1" s="63" t="s">
        <v>122</v>
      </c>
      <c r="B1" s="55" t="s">
        <v>123</v>
      </c>
      <c r="C1" s="55" t="s">
        <v>124</v>
      </c>
    </row>
    <row r="2" spans="1:3" x14ac:dyDescent="0.2">
      <c r="A2" s="63"/>
      <c r="B2" s="55" t="s">
        <v>125</v>
      </c>
      <c r="C2" s="55" t="s">
        <v>126</v>
      </c>
    </row>
    <row r="3" spans="1:3" x14ac:dyDescent="0.2">
      <c r="A3" s="63">
        <v>315</v>
      </c>
      <c r="B3" s="55" t="s">
        <v>127</v>
      </c>
      <c r="C3" s="55" t="s">
        <v>126</v>
      </c>
    </row>
    <row r="4" spans="1:3" x14ac:dyDescent="0.2">
      <c r="A4" s="63">
        <v>316</v>
      </c>
      <c r="B4" s="55" t="s">
        <v>128</v>
      </c>
      <c r="C4" s="55" t="s">
        <v>126</v>
      </c>
    </row>
    <row r="5" spans="1:3" x14ac:dyDescent="0.2">
      <c r="A5" s="63">
        <v>331</v>
      </c>
      <c r="B5" s="55" t="s">
        <v>129</v>
      </c>
      <c r="C5" s="55" t="s">
        <v>126</v>
      </c>
    </row>
    <row r="6" spans="1:3" x14ac:dyDescent="0.2">
      <c r="A6" s="63">
        <v>333</v>
      </c>
      <c r="B6" s="55" t="s">
        <v>130</v>
      </c>
      <c r="C6" s="55" t="s">
        <v>126</v>
      </c>
    </row>
    <row r="7" spans="1:3" x14ac:dyDescent="0.2">
      <c r="A7" s="63">
        <v>334</v>
      </c>
      <c r="B7" s="55" t="s">
        <v>131</v>
      </c>
      <c r="C7" s="55" t="s">
        <v>126</v>
      </c>
    </row>
    <row r="8" spans="1:3" x14ac:dyDescent="0.2">
      <c r="A8" s="63">
        <v>338</v>
      </c>
      <c r="B8" s="55" t="s">
        <v>132</v>
      </c>
      <c r="C8" s="55" t="s">
        <v>126</v>
      </c>
    </row>
    <row r="9" spans="1:3" x14ac:dyDescent="0.2">
      <c r="A9" s="63">
        <v>420</v>
      </c>
      <c r="B9" s="55" t="s">
        <v>133</v>
      </c>
      <c r="C9" s="55" t="s">
        <v>126</v>
      </c>
    </row>
    <row r="10" spans="1:3" x14ac:dyDescent="0.2">
      <c r="A10" s="63">
        <v>430</v>
      </c>
      <c r="B10" s="55" t="s">
        <v>134</v>
      </c>
      <c r="C10" s="55" t="s">
        <v>126</v>
      </c>
    </row>
    <row r="11" spans="1:3" x14ac:dyDescent="0.2">
      <c r="A11" s="63" t="s">
        <v>135</v>
      </c>
      <c r="B11" s="55" t="s">
        <v>136</v>
      </c>
      <c r="C11" s="55" t="s">
        <v>126</v>
      </c>
    </row>
    <row r="12" spans="1:3" x14ac:dyDescent="0.2">
      <c r="A12" s="63" t="s">
        <v>137</v>
      </c>
      <c r="B12" s="55" t="s">
        <v>138</v>
      </c>
      <c r="C12" s="55" t="s">
        <v>126</v>
      </c>
    </row>
    <row r="13" spans="1:3" x14ac:dyDescent="0.2">
      <c r="A13" s="63" t="s">
        <v>139</v>
      </c>
      <c r="B13" s="55" t="s">
        <v>140</v>
      </c>
      <c r="C13" s="55" t="s">
        <v>126</v>
      </c>
    </row>
    <row r="14" spans="1:3" x14ac:dyDescent="0.2">
      <c r="A14" s="63" t="s">
        <v>141</v>
      </c>
      <c r="B14" s="55" t="s">
        <v>142</v>
      </c>
      <c r="C14" s="55" t="s">
        <v>143</v>
      </c>
    </row>
    <row r="15" spans="1:3" x14ac:dyDescent="0.2">
      <c r="A15" s="63" t="s">
        <v>144</v>
      </c>
      <c r="B15" s="55" t="s">
        <v>145</v>
      </c>
      <c r="C15" s="55" t="s">
        <v>126</v>
      </c>
    </row>
    <row r="16" spans="1:3" x14ac:dyDescent="0.2">
      <c r="A16" s="63" t="s">
        <v>146</v>
      </c>
      <c r="B16" s="55" t="s">
        <v>147</v>
      </c>
      <c r="C16" s="55" t="s">
        <v>126</v>
      </c>
    </row>
    <row r="17" spans="1:3" x14ac:dyDescent="0.2">
      <c r="A17" s="63" t="s">
        <v>148</v>
      </c>
      <c r="B17" s="55" t="s">
        <v>149</v>
      </c>
      <c r="C17" s="55" t="s">
        <v>126</v>
      </c>
    </row>
    <row r="18" spans="1:3" x14ac:dyDescent="0.2">
      <c r="A18" s="63" t="s">
        <v>150</v>
      </c>
      <c r="B18" s="55" t="s">
        <v>151</v>
      </c>
      <c r="C18" s="55" t="s">
        <v>126</v>
      </c>
    </row>
    <row r="19" spans="1:3" x14ac:dyDescent="0.2">
      <c r="A19" s="63" t="s">
        <v>152</v>
      </c>
      <c r="B19" s="55" t="s">
        <v>153</v>
      </c>
      <c r="C19" s="55" t="s">
        <v>143</v>
      </c>
    </row>
    <row r="20" spans="1:3" x14ac:dyDescent="0.2">
      <c r="A20" s="63" t="s">
        <v>154</v>
      </c>
      <c r="B20" s="55" t="s">
        <v>155</v>
      </c>
      <c r="C20" s="55" t="s">
        <v>143</v>
      </c>
    </row>
    <row r="21" spans="1:3" x14ac:dyDescent="0.2">
      <c r="A21" s="63"/>
      <c r="B21" s="55"/>
      <c r="C21" s="55"/>
    </row>
    <row r="22" spans="1:3" x14ac:dyDescent="0.2">
      <c r="A22" s="63"/>
      <c r="B22" s="55"/>
      <c r="C22" s="55"/>
    </row>
    <row r="23" spans="1:3" x14ac:dyDescent="0.2">
      <c r="A23" s="63"/>
      <c r="B23" s="55"/>
      <c r="C23" s="55"/>
    </row>
    <row r="24" spans="1:3" x14ac:dyDescent="0.2">
      <c r="A24" s="63"/>
      <c r="B24" s="55"/>
      <c r="C24" s="55"/>
    </row>
  </sheetData>
  <sheetProtection algorithmName="SHA-512" hashValue="5Ab4qYg4zJ3f5VvKNAykG6eOYZ28wSS6iJtaq6uPdf80KBhy0G49uBHrLlbZJbguhSHJ+WV440S75L8Bgy0B+Q==" saltValue="7o/ZO/z3WL1oFMdmYJSAV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G8"/>
  <sheetViews>
    <sheetView workbookViewId="0">
      <selection activeCell="F15" sqref="F15"/>
    </sheetView>
  </sheetViews>
  <sheetFormatPr baseColWidth="10" defaultColWidth="8.83203125" defaultRowHeight="15" x14ac:dyDescent="0.2"/>
  <cols>
    <col min="1" max="1" width="14.33203125" bestFit="1" customWidth="1"/>
    <col min="2" max="2" width="10.5" bestFit="1" customWidth="1"/>
  </cols>
  <sheetData>
    <row r="1" spans="1:7" x14ac:dyDescent="0.2">
      <c r="A1">
        <v>1</v>
      </c>
      <c r="B1">
        <v>2</v>
      </c>
      <c r="C1">
        <v>3</v>
      </c>
      <c r="D1">
        <v>4</v>
      </c>
      <c r="E1">
        <v>5</v>
      </c>
      <c r="F1">
        <v>6</v>
      </c>
      <c r="G1">
        <v>7</v>
      </c>
    </row>
    <row r="2" spans="1:7" x14ac:dyDescent="0.2">
      <c r="A2" s="70" t="s">
        <v>31</v>
      </c>
      <c r="B2" s="55" t="s">
        <v>156</v>
      </c>
      <c r="C2" s="55"/>
      <c r="D2" s="55"/>
    </row>
    <row r="3" spans="1:7" x14ac:dyDescent="0.2">
      <c r="A3" s="71">
        <v>0</v>
      </c>
      <c r="B3" s="71">
        <v>19175</v>
      </c>
      <c r="C3" s="55"/>
      <c r="D3" s="55">
        <v>65</v>
      </c>
    </row>
    <row r="4" spans="1:7" x14ac:dyDescent="0.2">
      <c r="A4" s="71">
        <v>19176</v>
      </c>
      <c r="B4" s="71">
        <v>19724</v>
      </c>
      <c r="C4" s="55"/>
      <c r="D4" s="55">
        <v>65.5</v>
      </c>
    </row>
    <row r="5" spans="1:7" x14ac:dyDescent="0.2">
      <c r="A5" s="71">
        <v>19725</v>
      </c>
      <c r="B5" s="71">
        <v>20270</v>
      </c>
      <c r="C5" s="55"/>
      <c r="D5" s="55">
        <v>66</v>
      </c>
    </row>
    <row r="6" spans="1:7" x14ac:dyDescent="0.2">
      <c r="A6" s="71">
        <v>20271</v>
      </c>
      <c r="B6" s="71">
        <v>20820</v>
      </c>
      <c r="C6" s="55"/>
      <c r="D6" s="55">
        <v>66.5</v>
      </c>
    </row>
    <row r="7" spans="1:7" x14ac:dyDescent="0.2">
      <c r="A7" s="71">
        <v>20821</v>
      </c>
      <c r="B7" s="71">
        <v>0</v>
      </c>
      <c r="C7" s="55"/>
      <c r="D7" s="55">
        <v>67</v>
      </c>
    </row>
    <row r="8" spans="1:7" x14ac:dyDescent="0.2">
      <c r="A8" s="55"/>
      <c r="B8" s="55"/>
      <c r="C8" s="55"/>
      <c r="D8" s="55"/>
    </row>
  </sheetData>
  <sheetProtection algorithmName="SHA-512" hashValue="nfyo4i715Mni39HRcxZn/jRU4WBo8JBhMsbqCAvIlYFLCNoesai0IIvDLkDLJif8BVqk47kNOsdqaGrtKvUxaQ==" saltValue="bPx6Hs/VyDW2L2ryUhePXw=="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
  <sheetViews>
    <sheetView workbookViewId="0">
      <selection activeCell="D13" sqref="D13"/>
    </sheetView>
  </sheetViews>
  <sheetFormatPr baseColWidth="10" defaultColWidth="8.83203125" defaultRowHeight="15" x14ac:dyDescent="0.2"/>
  <cols>
    <col min="1" max="1" width="9.5" bestFit="1" customWidth="1"/>
    <col min="2" max="2" width="10.5" bestFit="1" customWidth="1"/>
  </cols>
  <sheetData>
    <row r="1" spans="1:4" x14ac:dyDescent="0.2">
      <c r="A1" s="55">
        <v>0</v>
      </c>
      <c r="B1" s="71">
        <v>22097</v>
      </c>
      <c r="C1" s="55"/>
      <c r="D1" s="55">
        <v>55</v>
      </c>
    </row>
    <row r="2" spans="1:4" x14ac:dyDescent="0.2">
      <c r="A2" s="71">
        <v>22098</v>
      </c>
      <c r="B2" s="71">
        <v>22462</v>
      </c>
      <c r="C2" s="55"/>
      <c r="D2" s="55">
        <v>56</v>
      </c>
    </row>
    <row r="3" spans="1:4" x14ac:dyDescent="0.2">
      <c r="A3" s="71">
        <f>B2+1</f>
        <v>22463</v>
      </c>
      <c r="B3" s="71">
        <v>22827</v>
      </c>
      <c r="C3" s="55"/>
      <c r="D3" s="55">
        <v>57</v>
      </c>
    </row>
    <row r="4" spans="1:4" x14ac:dyDescent="0.2">
      <c r="A4" s="71">
        <f t="shared" ref="A4:A6" si="0">B3+1</f>
        <v>22828</v>
      </c>
      <c r="B4" s="71">
        <v>23192</v>
      </c>
      <c r="C4" s="55"/>
      <c r="D4" s="55">
        <v>58</v>
      </c>
    </row>
    <row r="5" spans="1:4" x14ac:dyDescent="0.2">
      <c r="A5" s="71">
        <f t="shared" si="0"/>
        <v>23193</v>
      </c>
      <c r="B5" s="71">
        <v>23558</v>
      </c>
      <c r="C5" s="55"/>
      <c r="D5" s="55">
        <v>59</v>
      </c>
    </row>
    <row r="6" spans="1:4" x14ac:dyDescent="0.2">
      <c r="A6" s="71">
        <f t="shared" si="0"/>
        <v>23559</v>
      </c>
      <c r="B6" s="71"/>
      <c r="C6" s="55"/>
      <c r="D6" s="55">
        <v>60</v>
      </c>
    </row>
    <row r="7" spans="1:4" x14ac:dyDescent="0.2">
      <c r="A7" s="55"/>
      <c r="B7" s="55"/>
      <c r="C7" s="55"/>
      <c r="D7" s="55"/>
    </row>
  </sheetData>
  <sheetProtection algorithmName="SHA-512" hashValue="raLXLpKU5VI5IW2P4bf+syz7pP7eQZql4GPUzGosy9e/KBcl58yTx37hx1gWT+Ty1RFaSPQ2q+vPuOUQnZxjEQ==" saltValue="Uy+cnbT14JQSx8rgjnl0Q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C4B1E43A195B45BABD09FB2EF953B6" ma:contentTypeVersion="18" ma:contentTypeDescription="Create a new document." ma:contentTypeScope="" ma:versionID="41d13e19b956736e85dd1dcde5e24d7f">
  <xsd:schema xmlns:xsd="http://www.w3.org/2001/XMLSchema" xmlns:xs="http://www.w3.org/2001/XMLSchema" xmlns:p="http://schemas.microsoft.com/office/2006/metadata/properties" xmlns:ns2="3702a471-0ee9-4c6b-a636-9e0cad2dbdfc" xmlns:ns3="876c6a71-35c8-4051-b4aa-0726734ce777" xmlns:ns4="c30e2885-58e1-4e94-9dc7-f83158e7ef28" targetNamespace="http://schemas.microsoft.com/office/2006/metadata/properties" ma:root="true" ma:fieldsID="e90fbe347feae64dc5c83d067e55ee39" ns2:_="" ns3:_="" ns4:_="">
    <xsd:import namespace="3702a471-0ee9-4c6b-a636-9e0cad2dbdfc"/>
    <xsd:import namespace="876c6a71-35c8-4051-b4aa-0726734ce777"/>
    <xsd:import namespace="c30e2885-58e1-4e94-9dc7-f83158e7ef2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02a471-0ee9-4c6b-a636-9e0cad2dbd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0858339-22dc-49f9-bed0-4b2c0ae499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76c6a71-35c8-4051-b4aa-0726734ce77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0e2885-58e1-4e94-9dc7-f83158e7ef2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ec212d8-7444-42d7-ae93-550159370bef}" ma:internalName="TaxCatchAll" ma:showField="CatchAllData" ma:web="876c6a71-35c8-4051-b4aa-0726734ce7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30e2885-58e1-4e94-9dc7-f83158e7ef28" xsi:nil="true"/>
    <lcf76f155ced4ddcb4097134ff3c332f xmlns="3702a471-0ee9-4c6b-a636-9e0cad2dbdf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17B852-B636-4F36-BAE8-6BB505CB2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02a471-0ee9-4c6b-a636-9e0cad2dbdfc"/>
    <ds:schemaRef ds:uri="876c6a71-35c8-4051-b4aa-0726734ce777"/>
    <ds:schemaRef ds:uri="c30e2885-58e1-4e94-9dc7-f83158e7ef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BA9822-11B4-4EB0-970C-CF5C0E8B7724}">
  <ds:schemaRefs>
    <ds:schemaRef ds:uri="http://schemas.microsoft.com/sharepoint/v3/contenttype/forms"/>
  </ds:schemaRefs>
</ds:datastoreItem>
</file>

<file path=customXml/itemProps3.xml><?xml version="1.0" encoding="utf-8"?>
<ds:datastoreItem xmlns:ds="http://schemas.openxmlformats.org/officeDocument/2006/customXml" ds:itemID="{B402047E-6996-4EF2-9289-E39D7EB3BEEF}">
  <ds:schemaRefs>
    <ds:schemaRef ds:uri="http://schemas.microsoft.com/office/2006/metadata/properties"/>
    <ds:schemaRef ds:uri="http://schemas.microsoft.com/office/infopath/2007/PartnerControls"/>
    <ds:schemaRef ds:uri="c30e2885-58e1-4e94-9dc7-f83158e7ef28"/>
    <ds:schemaRef ds:uri="3702a471-0ee9-4c6b-a636-9e0cad2dbdfc"/>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DATA</vt:lpstr>
      <vt:lpstr>TAX</vt:lpstr>
      <vt:lpstr>RULES</vt:lpstr>
      <vt:lpstr>Salary Table</vt:lpstr>
      <vt:lpstr>Loading Table</vt:lpstr>
      <vt:lpstr>Age Determination </vt:lpstr>
      <vt:lpstr>Preservation Age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2025-02-24T21:59:43Z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0x010100B7C4B1E43A195B45BABD09FB2EF953B6</vt:lpwstr>
  </property>
  <property fmtid="{D5CDD505-2E9C-101B-9397-08002B2CF9AE}" pid="3" name="MediaServiceImageTags">
    <vt:lpwstr/>
  </property>
</Properties>
</file>